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cessos Licitatórios PMA\Exercício 2026\CONCORRÊNCIAS\15.025-2026 - Reforma do Ginásio São Pedro\Docs-Arquivos Secretaria\"/>
    </mc:Choice>
  </mc:AlternateContent>
  <bookViews>
    <workbookView xWindow="-120" yWindow="-120" windowWidth="15480" windowHeight="7770" tabRatio="829"/>
  </bookViews>
  <sheets>
    <sheet name="Orçamento" sheetId="1" r:id="rId1"/>
    <sheet name="Cronograma" sheetId="7" r:id="rId2"/>
    <sheet name="Quantitativos Gerais" sheetId="13" r:id="rId3"/>
  </sheets>
  <definedNames>
    <definedName name="_xlnm.Print_Area" localSheetId="1">Cronograma!$C$4:$K$35</definedName>
    <definedName name="_xlnm.Print_Area" localSheetId="0">Orçamento!$C$3:$L$216</definedName>
    <definedName name="_xlnm.Print_Area" localSheetId="2">'Quantitativos Gerais'!$C$4:$S$29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5" i="7" l="1"/>
  <c r="I218" i="1" l="1"/>
  <c r="I193" i="1" l="1"/>
  <c r="I194" i="1" s="1"/>
  <c r="I55" i="1"/>
  <c r="I56" i="1"/>
  <c r="K56" i="1"/>
  <c r="K55" i="1"/>
  <c r="K53" i="1"/>
  <c r="L53" i="1" s="1"/>
  <c r="K54" i="1"/>
  <c r="L54" i="1" s="1"/>
  <c r="K32" i="7"/>
  <c r="K30" i="7"/>
  <c r="L55" i="1" l="1"/>
  <c r="L56" i="1"/>
  <c r="D32" i="7"/>
  <c r="D30" i="7"/>
  <c r="D28" i="7"/>
  <c r="D26" i="7"/>
  <c r="D24" i="7"/>
  <c r="D22" i="7"/>
  <c r="D20" i="7"/>
  <c r="D18" i="7"/>
  <c r="K14" i="1"/>
  <c r="J14" i="1" s="1"/>
  <c r="I207" i="1"/>
  <c r="I29" i="1"/>
  <c r="I21" i="1"/>
  <c r="I22" i="1" s="1"/>
  <c r="K18" i="1"/>
  <c r="L18" i="1" s="1"/>
  <c r="K199" i="1"/>
  <c r="L199" i="1" s="1"/>
  <c r="K201" i="1"/>
  <c r="L201" i="1" s="1"/>
  <c r="K200" i="1"/>
  <c r="L200" i="1" s="1"/>
  <c r="L51" i="1"/>
  <c r="K57" i="1" l="1"/>
  <c r="L57" i="1" s="1"/>
  <c r="I74" i="1" l="1"/>
  <c r="I75" i="1" s="1"/>
  <c r="I126" i="1"/>
  <c r="K198" i="1"/>
  <c r="L198" i="1" s="1"/>
  <c r="I170" i="1"/>
  <c r="K170" i="1"/>
  <c r="L170" i="1" l="1"/>
  <c r="K188" i="1"/>
  <c r="L188" i="1" s="1"/>
  <c r="I189" i="1"/>
  <c r="K189" i="1"/>
  <c r="K195" i="1"/>
  <c r="K206" i="1"/>
  <c r="L206" i="1" s="1"/>
  <c r="K205" i="1"/>
  <c r="L205" i="1" s="1"/>
  <c r="I164" i="1"/>
  <c r="M22" i="13"/>
  <c r="L21" i="13"/>
  <c r="I169" i="1"/>
  <c r="K169" i="1"/>
  <c r="P13" i="13"/>
  <c r="I178" i="1"/>
  <c r="I175" i="1"/>
  <c r="I172" i="1"/>
  <c r="K75" i="1"/>
  <c r="K74" i="1"/>
  <c r="L74" i="1" s="1"/>
  <c r="K76" i="1"/>
  <c r="I179" i="1"/>
  <c r="K68" i="1"/>
  <c r="L68" i="1" s="1"/>
  <c r="K67" i="1"/>
  <c r="L67" i="1" s="1"/>
  <c r="K30" i="1"/>
  <c r="L30" i="1" s="1"/>
  <c r="I71" i="1"/>
  <c r="I27" i="1" s="1"/>
  <c r="I115" i="1"/>
  <c r="I113" i="1"/>
  <c r="I112" i="1"/>
  <c r="I110" i="1"/>
  <c r="I182" i="1"/>
  <c r="I95" i="1"/>
  <c r="L95" i="1" s="1"/>
  <c r="K94" i="1"/>
  <c r="L94" i="1" s="1"/>
  <c r="K93" i="1"/>
  <c r="L93" i="1" s="1"/>
  <c r="K84" i="1"/>
  <c r="L84" i="1" s="1"/>
  <c r="K44" i="1"/>
  <c r="I148" i="1"/>
  <c r="I147" i="1"/>
  <c r="K154" i="1"/>
  <c r="L154" i="1" s="1"/>
  <c r="I145" i="1"/>
  <c r="L189" i="1" l="1"/>
  <c r="L169" i="1"/>
  <c r="L75" i="1"/>
  <c r="I76" i="1"/>
  <c r="L76" i="1" s="1"/>
  <c r="I135" i="1"/>
  <c r="I151" i="1" s="1"/>
  <c r="K135" i="1"/>
  <c r="I138" i="1"/>
  <c r="I136" i="1"/>
  <c r="K133" i="1"/>
  <c r="I133" i="1"/>
  <c r="K134" i="1"/>
  <c r="I134" i="1"/>
  <c r="I132" i="1"/>
  <c r="K132" i="1"/>
  <c r="I131" i="1"/>
  <c r="K131" i="1"/>
  <c r="K130" i="1"/>
  <c r="L130" i="1" s="1"/>
  <c r="K136" i="1"/>
  <c r="I41" i="1"/>
  <c r="I44" i="1" s="1"/>
  <c r="I174" i="1" s="1"/>
  <c r="I214" i="1"/>
  <c r="K210" i="1"/>
  <c r="L210" i="1" s="1"/>
  <c r="K214" i="1"/>
  <c r="K213" i="1"/>
  <c r="L213" i="1" s="1"/>
  <c r="K211" i="1"/>
  <c r="L211" i="1" s="1"/>
  <c r="K212" i="1"/>
  <c r="L212" i="1" s="1"/>
  <c r="I173" i="1"/>
  <c r="L195" i="1"/>
  <c r="K207" i="1"/>
  <c r="L207" i="1" s="1"/>
  <c r="K208" i="1"/>
  <c r="K58" i="1"/>
  <c r="K59" i="1"/>
  <c r="K61" i="1"/>
  <c r="K62" i="1"/>
  <c r="K63" i="1"/>
  <c r="K65" i="1"/>
  <c r="L65" i="1" s="1"/>
  <c r="K66" i="1"/>
  <c r="K70" i="1"/>
  <c r="L70" i="1" s="1"/>
  <c r="K71" i="1"/>
  <c r="L71" i="1" s="1"/>
  <c r="K72" i="1"/>
  <c r="K89" i="1"/>
  <c r="L89" i="1" s="1"/>
  <c r="I91" i="1"/>
  <c r="K91" i="1"/>
  <c r="K90" i="1"/>
  <c r="L90" i="1" s="1"/>
  <c r="K34" i="1"/>
  <c r="L34" i="1" s="1"/>
  <c r="I35" i="1"/>
  <c r="K187" i="1"/>
  <c r="L187" i="1" s="1"/>
  <c r="K179" i="1"/>
  <c r="L179" i="1" s="1"/>
  <c r="K32" i="1"/>
  <c r="L32" i="1" s="1"/>
  <c r="I111" i="1"/>
  <c r="I114" i="1"/>
  <c r="I116" i="1"/>
  <c r="K115" i="1"/>
  <c r="L115" i="1" s="1"/>
  <c r="K111" i="1"/>
  <c r="K114" i="1"/>
  <c r="K113" i="1"/>
  <c r="L113" i="1" s="1"/>
  <c r="K110" i="1"/>
  <c r="L110" i="1" s="1"/>
  <c r="K112" i="1"/>
  <c r="L112" i="1" s="1"/>
  <c r="K116" i="1"/>
  <c r="K117" i="1"/>
  <c r="L117" i="1" s="1"/>
  <c r="K118" i="1"/>
  <c r="L118" i="1" s="1"/>
  <c r="K31" i="1"/>
  <c r="L31" i="1" s="1"/>
  <c r="K33" i="1"/>
  <c r="L33" i="1" s="1"/>
  <c r="K36" i="1"/>
  <c r="K121" i="1"/>
  <c r="L121" i="1" s="1"/>
  <c r="K122" i="1"/>
  <c r="L122" i="1" s="1"/>
  <c r="K119" i="1"/>
  <c r="L119" i="1" s="1"/>
  <c r="K120" i="1"/>
  <c r="L120" i="1" s="1"/>
  <c r="I128" i="1"/>
  <c r="I141" i="1"/>
  <c r="K140" i="1"/>
  <c r="L140" i="1" s="1"/>
  <c r="K141" i="1"/>
  <c r="K125" i="1"/>
  <c r="L125" i="1" s="1"/>
  <c r="K126" i="1"/>
  <c r="L126" i="1" s="1"/>
  <c r="K160" i="1"/>
  <c r="L160" i="1" s="1"/>
  <c r="K159" i="1"/>
  <c r="L159" i="1" s="1"/>
  <c r="K158" i="1"/>
  <c r="L158" i="1" s="1"/>
  <c r="K185" i="1"/>
  <c r="L185" i="1" s="1"/>
  <c r="I183" i="1"/>
  <c r="K182" i="1"/>
  <c r="L182" i="1" s="1"/>
  <c r="I142" i="1"/>
  <c r="K142" i="1"/>
  <c r="K152" i="1"/>
  <c r="L152" i="1" s="1"/>
  <c r="K153" i="1"/>
  <c r="L153" i="1" s="1"/>
  <c r="K155" i="1"/>
  <c r="K156" i="1"/>
  <c r="K157" i="1"/>
  <c r="L157" i="1" s="1"/>
  <c r="I155" i="1"/>
  <c r="I146" i="1"/>
  <c r="I139" i="1"/>
  <c r="K139" i="1"/>
  <c r="K137" i="1"/>
  <c r="L137" i="1" s="1"/>
  <c r="L142" i="1" l="1"/>
  <c r="L44" i="1"/>
  <c r="L136" i="1"/>
  <c r="L131" i="1"/>
  <c r="L135" i="1"/>
  <c r="L133" i="1"/>
  <c r="L132" i="1"/>
  <c r="L134" i="1"/>
  <c r="L72" i="1"/>
  <c r="L214" i="1"/>
  <c r="L208" i="1"/>
  <c r="L91" i="1"/>
  <c r="L114" i="1"/>
  <c r="L111" i="1"/>
  <c r="L116" i="1"/>
  <c r="L141" i="1"/>
  <c r="L155" i="1"/>
  <c r="L156" i="1"/>
  <c r="L139" i="1"/>
  <c r="K129" i="1" l="1"/>
  <c r="Q14" i="13" l="1"/>
  <c r="P15" i="13"/>
  <c r="L129" i="1"/>
  <c r="K128" i="1"/>
  <c r="L128" i="1" s="1"/>
  <c r="K175" i="1"/>
  <c r="L175" i="1" s="1"/>
  <c r="K203" i="1" l="1"/>
  <c r="L203" i="1" s="1"/>
  <c r="I78" i="1"/>
  <c r="I77" i="1" s="1"/>
  <c r="K27" i="1"/>
  <c r="L27" i="1" s="1"/>
  <c r="I25" i="1" l="1"/>
  <c r="I63" i="1"/>
  <c r="L61" i="1"/>
  <c r="L66" i="1"/>
  <c r="I28" i="1"/>
  <c r="I26" i="1"/>
  <c r="J21" i="13"/>
  <c r="M21" i="13" s="1"/>
  <c r="J25" i="13"/>
  <c r="L25" i="13" s="1"/>
  <c r="E23" i="13"/>
  <c r="K17" i="13"/>
  <c r="K19" i="13" s="1"/>
  <c r="M20" i="13"/>
  <c r="J10" i="13"/>
  <c r="J11" i="13" s="1"/>
  <c r="I10" i="13"/>
  <c r="N10" i="13" s="1"/>
  <c r="I11" i="13"/>
  <c r="N11" i="13" s="1"/>
  <c r="H11" i="13"/>
  <c r="H10" i="13"/>
  <c r="J8" i="13"/>
  <c r="I8" i="13"/>
  <c r="M8" i="13" s="1"/>
  <c r="H8" i="13"/>
  <c r="H16" i="13"/>
  <c r="P16" i="13" s="1"/>
  <c r="P27" i="13" s="1"/>
  <c r="H17" i="13"/>
  <c r="H19" i="13"/>
  <c r="H20" i="13"/>
  <c r="J19" i="13"/>
  <c r="F18" i="13"/>
  <c r="M18" i="13" s="1"/>
  <c r="K26" i="1"/>
  <c r="K29" i="1"/>
  <c r="K28" i="1"/>
  <c r="K77" i="1"/>
  <c r="L77" i="1" s="1"/>
  <c r="K78" i="1"/>
  <c r="L78" i="1" s="1"/>
  <c r="J17" i="13"/>
  <c r="F9" i="13"/>
  <c r="E9" i="13"/>
  <c r="I46" i="1"/>
  <c r="I45" i="1"/>
  <c r="K46" i="1"/>
  <c r="K45" i="1"/>
  <c r="K99" i="1"/>
  <c r="L99" i="1" s="1"/>
  <c r="K98" i="1"/>
  <c r="L98" i="1" s="1"/>
  <c r="K86" i="1"/>
  <c r="L86" i="1" s="1"/>
  <c r="K96" i="1"/>
  <c r="L96" i="1" s="1"/>
  <c r="K43" i="1"/>
  <c r="L43" i="1" s="1"/>
  <c r="K178" i="1"/>
  <c r="L178" i="1" s="1"/>
  <c r="K173" i="1"/>
  <c r="L173" i="1" s="1"/>
  <c r="K145" i="1"/>
  <c r="L145" i="1" s="1"/>
  <c r="K146" i="1"/>
  <c r="L146" i="1" s="1"/>
  <c r="K147" i="1"/>
  <c r="L147" i="1" s="1"/>
  <c r="K148" i="1"/>
  <c r="L148" i="1" s="1"/>
  <c r="K204" i="1"/>
  <c r="I204" i="1"/>
  <c r="K184" i="1"/>
  <c r="K183" i="1"/>
  <c r="L183" i="1" s="1"/>
  <c r="K41" i="1"/>
  <c r="K15" i="1"/>
  <c r="K16" i="1"/>
  <c r="K17" i="1"/>
  <c r="M17" i="13" l="1"/>
  <c r="M19" i="13" s="1"/>
  <c r="I9" i="13"/>
  <c r="M9" i="13" s="1"/>
  <c r="K9" i="13"/>
  <c r="E24" i="13"/>
  <c r="M24" i="13" s="1"/>
  <c r="L23" i="13"/>
  <c r="I37" i="1"/>
  <c r="I36" i="1" s="1"/>
  <c r="O11" i="13"/>
  <c r="S11" i="13"/>
  <c r="O8" i="13"/>
  <c r="R8" i="13"/>
  <c r="O10" i="13"/>
  <c r="S10" i="13"/>
  <c r="H18" i="13"/>
  <c r="K8" i="13"/>
  <c r="N27" i="13"/>
  <c r="J9" i="13"/>
  <c r="J12" i="13" s="1"/>
  <c r="H9" i="13"/>
  <c r="K18" i="13"/>
  <c r="L62" i="1"/>
  <c r="L63" i="1"/>
  <c r="L29" i="1"/>
  <c r="L26" i="1"/>
  <c r="L28" i="1"/>
  <c r="L45" i="1"/>
  <c r="L46" i="1"/>
  <c r="L204" i="1"/>
  <c r="L41" i="1"/>
  <c r="L184" i="1"/>
  <c r="K18" i="7"/>
  <c r="K28" i="7"/>
  <c r="K26" i="7"/>
  <c r="K20" i="7"/>
  <c r="K14" i="7"/>
  <c r="K22" i="7"/>
  <c r="K24" i="7"/>
  <c r="K16" i="7"/>
  <c r="S27" i="13" l="1"/>
  <c r="L36" i="1"/>
  <c r="I38" i="1"/>
  <c r="O9" i="13"/>
  <c r="O27" i="13" s="1"/>
  <c r="O28" i="13" s="1"/>
  <c r="R9" i="13"/>
  <c r="R27" i="13" s="1"/>
  <c r="K27" i="13"/>
  <c r="M12" i="13"/>
  <c r="M27" i="13" s="1"/>
  <c r="L12" i="13"/>
  <c r="L27" i="13" s="1"/>
  <c r="K177" i="1"/>
  <c r="K174" i="1"/>
  <c r="L174" i="1" s="1"/>
  <c r="L177" i="1" l="1"/>
  <c r="L172" i="1"/>
  <c r="K108" i="1"/>
  <c r="K127" i="1"/>
  <c r="K165" i="1"/>
  <c r="K38" i="1"/>
  <c r="K37" i="1"/>
  <c r="K42" i="1"/>
  <c r="K25" i="1"/>
  <c r="L165" i="1" l="1"/>
  <c r="L108" i="1"/>
  <c r="L127" i="1"/>
  <c r="L25" i="1"/>
  <c r="L37" i="1"/>
  <c r="L38" i="1"/>
  <c r="L42" i="1"/>
  <c r="L47" i="1" l="1"/>
  <c r="F21" i="7" s="1"/>
  <c r="K186" i="1"/>
  <c r="L186" i="1" s="1"/>
  <c r="L190" i="1" s="1"/>
  <c r="F31" i="7" s="1"/>
  <c r="I21" i="7" l="1"/>
  <c r="H21" i="7"/>
  <c r="J31" i="7"/>
  <c r="I31" i="7"/>
  <c r="H31" i="7"/>
  <c r="K97" i="1"/>
  <c r="L97" i="1" s="1"/>
  <c r="K102" i="1"/>
  <c r="L102" i="1" s="1"/>
  <c r="K101" i="1"/>
  <c r="L101" i="1" s="1"/>
  <c r="K103" i="1"/>
  <c r="L103" i="1" s="1"/>
  <c r="K100" i="1"/>
  <c r="K88" i="1"/>
  <c r="K85" i="1"/>
  <c r="K83" i="1"/>
  <c r="K31" i="7" l="1"/>
  <c r="L83" i="1"/>
  <c r="L100" i="1"/>
  <c r="K35" i="1" l="1"/>
  <c r="K193" i="1"/>
  <c r="L193" i="1" s="1"/>
  <c r="K194" i="1"/>
  <c r="L194" i="1" s="1"/>
  <c r="K196" i="1"/>
  <c r="K192" i="1"/>
  <c r="K168" i="1"/>
  <c r="K167" i="1"/>
  <c r="K166" i="1"/>
  <c r="K164" i="1"/>
  <c r="K124" i="1"/>
  <c r="K138" i="1"/>
  <c r="K150" i="1"/>
  <c r="K143" i="1"/>
  <c r="K151" i="1"/>
  <c r="K109" i="1"/>
  <c r="K107" i="1"/>
  <c r="K82" i="1"/>
  <c r="K52" i="1"/>
  <c r="K22" i="1"/>
  <c r="K21" i="1"/>
  <c r="L35" i="1" l="1"/>
  <c r="L39" i="1" l="1"/>
  <c r="F19" i="7" s="1"/>
  <c r="L143" i="1"/>
  <c r="L150" i="1"/>
  <c r="L151" i="1"/>
  <c r="H19" i="7" l="1"/>
  <c r="G19" i="7"/>
  <c r="L164" i="1" l="1"/>
  <c r="L168" i="1" l="1"/>
  <c r="L58" i="1" l="1"/>
  <c r="L59" i="1" l="1"/>
  <c r="L52" i="1"/>
  <c r="L79" i="1" s="1"/>
  <c r="F23" i="7" l="1"/>
  <c r="L109" i="1"/>
  <c r="L82" i="1" l="1"/>
  <c r="L166" i="1" l="1"/>
  <c r="L124" i="1" l="1"/>
  <c r="L138" i="1"/>
  <c r="L107" i="1"/>
  <c r="L161" i="1" s="1"/>
  <c r="F27" i="7" l="1"/>
  <c r="L192" i="1"/>
  <c r="L196" i="1"/>
  <c r="L167" i="1"/>
  <c r="L180" i="1" s="1"/>
  <c r="F29" i="7" s="1"/>
  <c r="L22" i="1"/>
  <c r="L21" i="1"/>
  <c r="L16" i="1"/>
  <c r="L15" i="1"/>
  <c r="H29" i="7" l="1"/>
  <c r="I29" i="7"/>
  <c r="L215" i="1"/>
  <c r="L23" i="1"/>
  <c r="F17" i="7" s="1"/>
  <c r="L17" i="1"/>
  <c r="L19" i="1" s="1"/>
  <c r="F15" i="7" s="1"/>
  <c r="F33" i="7" l="1"/>
  <c r="H33" i="7"/>
  <c r="I33" i="7"/>
  <c r="J33" i="7"/>
  <c r="D16" i="7"/>
  <c r="D14" i="7"/>
  <c r="K33" i="7" l="1"/>
  <c r="J21" i="7"/>
  <c r="K21" i="7" l="1"/>
  <c r="J27" i="7"/>
  <c r="I27" i="7"/>
  <c r="H27" i="7"/>
  <c r="K27" i="7" l="1"/>
  <c r="J15" i="7"/>
  <c r="I15" i="7"/>
  <c r="J29" i="7"/>
  <c r="G15" i="7"/>
  <c r="H15" i="7"/>
  <c r="H17" i="7" l="1"/>
  <c r="J17" i="7"/>
  <c r="K29" i="7"/>
  <c r="K15" i="7"/>
  <c r="I17" i="7"/>
  <c r="G17" i="7"/>
  <c r="K17" i="7" l="1"/>
  <c r="K19" i="7" l="1"/>
  <c r="L85" i="1" l="1"/>
  <c r="L88" i="1" l="1"/>
  <c r="L104" i="1" l="1"/>
  <c r="F25" i="7" l="1"/>
  <c r="L216" i="1"/>
  <c r="G25" i="7"/>
  <c r="K25" i="7" s="1"/>
  <c r="F35" i="7"/>
  <c r="F32" i="7" s="1"/>
  <c r="I25" i="7"/>
  <c r="J25" i="7"/>
  <c r="J35" i="7" s="1"/>
  <c r="H25" i="7"/>
  <c r="F16" i="7"/>
  <c r="I23" i="7" l="1"/>
  <c r="I35" i="7" s="1"/>
  <c r="G23" i="7"/>
  <c r="G35" i="7" s="1"/>
  <c r="H23" i="7"/>
  <c r="H35" i="7" s="1"/>
  <c r="K23" i="7" l="1"/>
  <c r="G34" i="7"/>
  <c r="F26" i="7"/>
  <c r="F30" i="7"/>
  <c r="I34" i="7"/>
  <c r="F14" i="7"/>
  <c r="F24" i="7"/>
  <c r="F22" i="7"/>
  <c r="F18" i="7"/>
  <c r="F20" i="7"/>
  <c r="F28" i="7"/>
  <c r="J34" i="7"/>
  <c r="H34" i="7"/>
  <c r="F34" i="7" l="1"/>
  <c r="K34" i="7"/>
</calcChain>
</file>

<file path=xl/sharedStrings.xml><?xml version="1.0" encoding="utf-8"?>
<sst xmlns="http://schemas.openxmlformats.org/spreadsheetml/2006/main" count="961" uniqueCount="625">
  <si>
    <t>PREFEITURA MUNICIPAL DE ARAXÁ-MG</t>
  </si>
  <si>
    <t xml:space="preserve">FORMA DE EXECUÇÃO: </t>
  </si>
  <si>
    <t>BDI</t>
  </si>
  <si>
    <t>(   ) DIRETA</t>
  </si>
  <si>
    <t>( X ) INDIRETA</t>
  </si>
  <si>
    <t>ITEM</t>
  </si>
  <si>
    <t>CÓDIGO</t>
  </si>
  <si>
    <t>FONTE</t>
  </si>
  <si>
    <t>DESCRIÇÃO</t>
  </si>
  <si>
    <t>UN</t>
  </si>
  <si>
    <t>QTDE</t>
  </si>
  <si>
    <t>PREÇO UNIT.</t>
  </si>
  <si>
    <t>PREÇO UNIT. C/ BDI</t>
  </si>
  <si>
    <t>PREÇO TOTAL</t>
  </si>
  <si>
    <t>SERVIÇOS PRELIMINARES</t>
  </si>
  <si>
    <t>1.1</t>
  </si>
  <si>
    <t>U</t>
  </si>
  <si>
    <t>1.2</t>
  </si>
  <si>
    <t>%</t>
  </si>
  <si>
    <t>1.3</t>
  </si>
  <si>
    <t>SINAPI</t>
  </si>
  <si>
    <t>MÊS</t>
  </si>
  <si>
    <t>M2</t>
  </si>
  <si>
    <t>M3</t>
  </si>
  <si>
    <t>ADMINISTRAÇÃO LOCAL</t>
  </si>
  <si>
    <t>2.1</t>
  </si>
  <si>
    <t xml:space="preserve">H </t>
  </si>
  <si>
    <t>2.2</t>
  </si>
  <si>
    <t>M</t>
  </si>
  <si>
    <t>INSTALAÇÕES ELÉTRICAS</t>
  </si>
  <si>
    <t>FORNECIMENTO E COLOCAÇÃO DE PLACA DE OBRA EM CHAPA GALVANIZADA #26, ESP. 0,45MM, DIMENSÃO (3X1,5)M, PLOTADA COM ADESIVO VINÍLICO, AFIXADA COM REBITES 4,8X40MM, EM ESTRUTURA METÁLICA DE METALON 20X20MM, ESP. 1,25MM, INCLUSIVE SUPORTE EM EUCALIPTO AUTOCLAVADO PINTADO COM TINTA PVA DUAS (2) DEMÃOS</t>
  </si>
  <si>
    <t>ED-28427</t>
  </si>
  <si>
    <t>LOCAÇÃO DE CONTAINER COM ISOLAMENTO TÉRMICO, TIPO 3, PARA DEPÓSITO/FERRAMENTARIA DE OBRA, COM MEDIDAS REFERENCIAIS DE (6) METROS COMPRIMENTO, (2,3) METROS LARGURA E (2,5) METROS ALTURA ÚTIL INTERNA, INCLUSIVE LIGAÇÕES ELÉTRICAS INTERNAS, EXCLUSIVE MOBILIZAÇÃO/DESMOBILIZAÇÃO E LIGAÇÕES PROVISÓRIAS EXTERNAS</t>
  </si>
  <si>
    <t>ED-16350</t>
  </si>
  <si>
    <t>MOBILIZAÇÃO E DESMOBILIZAÇÃO DE CONTAINER, INCLUSIVE CARGA, DESCARGA E TRANSPORTE EM CAMINHÃO CARROCERIA COM GUINDAUTO (MUNCK), EXCLUSIVE LOCAÇÃO DO CONTAINER</t>
  </si>
  <si>
    <t>ED-50137</t>
  </si>
  <si>
    <t>ED-50451</t>
  </si>
  <si>
    <t>ED-50514</t>
  </si>
  <si>
    <t>ED-50635</t>
  </si>
  <si>
    <t>ED-50266</t>
  </si>
  <si>
    <t>H</t>
  </si>
  <si>
    <t>TOTAL ITEM 3:</t>
  </si>
  <si>
    <t>TOTAL ITEM 2:</t>
  </si>
  <si>
    <t>TOTAL ITEM 1:</t>
  </si>
  <si>
    <t>TOTAL ITEM 4:</t>
  </si>
  <si>
    <t>ED-29233</t>
  </si>
  <si>
    <t>5.1</t>
  </si>
  <si>
    <t>1.4</t>
  </si>
  <si>
    <t>1.5</t>
  </si>
  <si>
    <t>6.1</t>
  </si>
  <si>
    <t>6.2</t>
  </si>
  <si>
    <t>TOTAL ITEM 6:</t>
  </si>
  <si>
    <t>TOTAL ITEM 8:</t>
  </si>
  <si>
    <t>ED-50392</t>
  </si>
  <si>
    <t>SERVIÇO</t>
  </si>
  <si>
    <t>FÍSICO/ FINANCEIRO</t>
  </si>
  <si>
    <t>TOTAL  ETAPAS</t>
  </si>
  <si>
    <t>MÊS 1</t>
  </si>
  <si>
    <t>MÊS 2</t>
  </si>
  <si>
    <t>MÊS 3</t>
  </si>
  <si>
    <t>1</t>
  </si>
  <si>
    <t>Físico %</t>
  </si>
  <si>
    <t>Financeiro</t>
  </si>
  <si>
    <t>2</t>
  </si>
  <si>
    <t>3</t>
  </si>
  <si>
    <t>4</t>
  </si>
  <si>
    <t>5</t>
  </si>
  <si>
    <t>6</t>
  </si>
  <si>
    <t>7</t>
  </si>
  <si>
    <t>8</t>
  </si>
  <si>
    <t>9</t>
  </si>
  <si>
    <t>TOTAL</t>
  </si>
  <si>
    <t>CRONOGRAMA FÍSICO-FINANCEIRO</t>
  </si>
  <si>
    <t>ED-51132</t>
  </si>
  <si>
    <t>SEINFRA</t>
  </si>
  <si>
    <t>5.2</t>
  </si>
  <si>
    <t>EXTINTOR DE INCÊNDIO PORTÁTIL COM CARGA DE CO2 DE 6 KG, CLASSE BC - FORNECIMENTO E INSTALAÇÃO. AF_10/2020_PE</t>
  </si>
  <si>
    <t>PLANILHA ORÇAMENTÁRIA</t>
  </si>
  <si>
    <t>7.2</t>
  </si>
  <si>
    <t>DIVERSOS</t>
  </si>
  <si>
    <t>MÊS 4</t>
  </si>
  <si>
    <t>6.2.4</t>
  </si>
  <si>
    <t>TOTAL ITEM 7:</t>
  </si>
  <si>
    <t>TOTAL ITEM 9:</t>
  </si>
  <si>
    <t>TOTAL ITEM 5:</t>
  </si>
  <si>
    <t>COM DESONERAÇÃO</t>
  </si>
  <si>
    <t>ED-22350</t>
  </si>
  <si>
    <t>ED-48989</t>
  </si>
  <si>
    <t>DISJUNTOR MONOPOLAR TIPO DIN, CORRENTE NOMINAL DE 16A, FORNECIMENTO E INSTALAÇÃO, INCLUSIVE TERMINAL ILHÓS</t>
  </si>
  <si>
    <t>5.1.2.1</t>
  </si>
  <si>
    <t>5.1.2.2</t>
  </si>
  <si>
    <t>5.1.2.3</t>
  </si>
  <si>
    <t>7.2.1</t>
  </si>
  <si>
    <t>7.4</t>
  </si>
  <si>
    <t>7.4.1</t>
  </si>
  <si>
    <t>7.2.2</t>
  </si>
  <si>
    <t>7.2.3</t>
  </si>
  <si>
    <t>7.2.4</t>
  </si>
  <si>
    <t>7.2.9</t>
  </si>
  <si>
    <t>3.1</t>
  </si>
  <si>
    <t>3.2</t>
  </si>
  <si>
    <t>4.1</t>
  </si>
  <si>
    <t>7.4.2</t>
  </si>
  <si>
    <t>7.4.5</t>
  </si>
  <si>
    <t>7.4.8</t>
  </si>
  <si>
    <t>8.1</t>
  </si>
  <si>
    <t>8.2</t>
  </si>
  <si>
    <t>8.3</t>
  </si>
  <si>
    <t xml:space="preserve"> </t>
  </si>
  <si>
    <t xml:space="preserve">Local: </t>
  </si>
  <si>
    <t>ED-50459</t>
  </si>
  <si>
    <t xml:space="preserve">TOTAL GERAL: </t>
  </si>
  <si>
    <t>MOBILIZAÇÃO E DESMOBILIZAÇÃO DE OBRA EM CENTRO URBANO OU REGIÃO LIMÍTROFE COM VALOR ATÉ O VALOR DE 1.000.000,00</t>
  </si>
  <si>
    <t>ED-48509</t>
  </si>
  <si>
    <t>REMOÇÃO MANUAL DE TELHA METÁLICA OU PVC, COM REAPROVEITAMENTO, INCLUSIVE AFASTAMENTO E EMPILHAMENTO, EXCLUSIVE TRANSPORTE E RETIRADA DO MATERIAL REMOVIDO NÃO REAPROVEITÁVEL</t>
  </si>
  <si>
    <t>ED-13852</t>
  </si>
  <si>
    <t>COBERTURA EM TELHA METÁLICA GALVANIZADA ONDULADA, TIPO SIMPLES, ESP. 0,50MM, ACABAMENTO NATURAL, INCLUSIVE ACESSÓRIOS PARA FIXAÇÃO, FORNECIMENTO E INSTALAÇÃO</t>
  </si>
  <si>
    <t>CARGA DE MATERIAL DE QUALQUER NATUREZA SOBRE CAMINHÃO - MECÂNICA</t>
  </si>
  <si>
    <t>M3xKM</t>
  </si>
  <si>
    <t>3.3</t>
  </si>
  <si>
    <t>3.4</t>
  </si>
  <si>
    <t>ED-50577</t>
  </si>
  <si>
    <t>ED-9934</t>
  </si>
  <si>
    <t>4.3</t>
  </si>
  <si>
    <t>4.4</t>
  </si>
  <si>
    <t>ED-15748</t>
  </si>
  <si>
    <t>CONJUNTO DE UMA (1) TOMADA PADRÃO, TRÊS (3) POLOS, CORRENTE 10A, TENSÃO 250V, (2P+T/10A-250V), COM PLACA 4"X2" DE UM (1) POSTO, INCLUSIVE FORNECIMENTO, INSTALAÇÃO, SUPORTE, MÓDULO E PLACA</t>
  </si>
  <si>
    <t>ED-15749</t>
  </si>
  <si>
    <t>CONJUNTO DE UMA (1) TOMADA PADRÃO, TRÊS (3) POLOS, CORRENTE 20A, TENSÃO 250V, (2P+T/20A-250V), COM PLACA 4"X2" DE UM (1) POSTO, INCLUSIVE FORNECIMENTO, INSTALAÇÃO, SUPORTE, MÓDULO E PLACA</t>
  </si>
  <si>
    <t>ED-27086</t>
  </si>
  <si>
    <t>LUMINÁRIA COMERCIAL COM ALETAS DE SOBREPOR COMPLETA, PARA DUAS (2) LÂMPADAS TUBULARES LED 2X9W-ØT8, TEMPERATURA DA COR 6500K, FORNECIMENTO E INSTALAÇÃO, INCLUSIVE BASE E LÂMPADA</t>
  </si>
  <si>
    <t>ED-14186</t>
  </si>
  <si>
    <t>QUADRO DE DISTRIBUIÇÃO DE EMBUTIR EM CHAPA, PARA 16 DISJUNTORES DIN, INCLUSIVE BARRAMENTOS NEUTRO/TERRA E BARRAMENTO TRIFÁSICO DE 100A</t>
  </si>
  <si>
    <t>ED-34475</t>
  </si>
  <si>
    <t>DISJUNTOR BIPOLAR TIPO DIN, CORRENTE NOMINAL DE 20A, FORNECIMENTO E INSTALAÇÃO, INCLUSIVE TERMINAL ILHÓS</t>
  </si>
  <si>
    <t>ED-15114</t>
  </si>
  <si>
    <t>DISJUNTOR DE PROTEÇÃO DIFERENCIAL RESIDUAL (DR), BIPOLAR, TIPO DIN, CORRENTE NOMINAL DE 25A, ALTA SENSIBILIDADE, CORRENTE DIFERENCIAL RESIDUAL NOMINAL COM ATUAÇÃO DE 30MA</t>
  </si>
  <si>
    <t>ED-34461</t>
  </si>
  <si>
    <t>ED-50279</t>
  </si>
  <si>
    <t>CUBA DE LOUÇA BRANCA DE EMBUTIR, FORMATO OVAL, INCLUSIVE VÁLVULA DE ESCOAMENTO DE METAL COM ACABAMENTO CROMADO, SIFÃO DE METAL TIPO COPO COM ACABAMENTO CROMADO, FORNECIMENTO E INSTALAÇÃO</t>
  </si>
  <si>
    <t>ED-48342</t>
  </si>
  <si>
    <t>FURO DE BOJO EM BANCADA DE GRANITO/MÁRMORE, INCLUSIVE COLAGEM COM MASSA PLÁSTICA</t>
  </si>
  <si>
    <t>ED-21631</t>
  </si>
  <si>
    <t>ED-48347</t>
  </si>
  <si>
    <t>RODABANCA/FRONTÃO PARA BANCADA EM GRANITO, COR CINZA ANDORINHA, ESP. 2CM, ALTURA DE 7CM, INCLUSIVE REJUNTAMENTO EM MASSA PLÁSTICA NA COR DA PEDRA</t>
  </si>
  <si>
    <t>ED-50330</t>
  </si>
  <si>
    <t>TORNEIRA METÁLICA PARA LAVATÓRIO, ABERTURA 1/4 DE VOLTA, ACABAMENTO CROMADO, COM AREJADOR, APLICAÇÃO DE MESA, INCLUSIVE ENGATE FLEXÍVEL METÁLICO, FORNECIMENTO E INSTALAÇÃO</t>
  </si>
  <si>
    <t>ED-50337</t>
  </si>
  <si>
    <t>VÁLVULA DE DESCARGA COM REGISTRO INTERNO, ACIONAMENTO SIMPLES, DN 1.1/2" (50MM), INCLUSIVE ACABAMENTO DA VÁLVULA</t>
  </si>
  <si>
    <t>ED-16344</t>
  </si>
  <si>
    <t>CHUVEIRO ELÉTRICO BRANCO, TENSÃO 127V/220V, POTÊNCIA 4600W/5500W, INCLUSIVE BRAÇO, FORNECIMENTO E INSTALAÇÃO</t>
  </si>
  <si>
    <t>ED-49987</t>
  </si>
  <si>
    <t>REGISTRO DE GAVETA, TIPO BASE, ROSCÁVEL 1/2" (PARA TUBO SOLDÁVEL OU PPR DN 20MM/CPVC DN 15MM), INCLUSIVE ACABAMENTO (PADRÃO MÉDIO) E CANOPLA CROMADOS</t>
  </si>
  <si>
    <t>ED-48156</t>
  </si>
  <si>
    <t>ASSENTO PLÁSTICO PARA BACIA SANITÁRIA, NA COR BRANCA, PADRÃO POPULAR, INCLUSIVE ACESSÓRIOS PARA FIXAÇÃO</t>
  </si>
  <si>
    <t>ED-48180</t>
  </si>
  <si>
    <t>ED-48155</t>
  </si>
  <si>
    <t>ED-48176</t>
  </si>
  <si>
    <t>CABIDE METÁLICO, GANCHO SIMPLES, ACABAMENTO CROMADO, INCLUSIVE ACESSÓRIOS PARA FIXAÇÃO</t>
  </si>
  <si>
    <t>ED-48533</t>
  </si>
  <si>
    <t>DIVISÓRIA EM GRANITO CINZA ANDORINHA, ESP. 3CM, INCLUSIVE INSTALAÇÃO, FERRAGENS EM LATÃO CROMADO E ACESSÓRIOS</t>
  </si>
  <si>
    <t>DISTRIBUIDOR/DISPENSER PARA PORTA PAPEL TOALHA PARA INTERFOLHAS DE DUAS (2) OU TRÊS (3) DOBRAS, EM AÇO INOX, INCLUSIVE ACESSÓRIOS PARA FIXAÇÃO</t>
  </si>
  <si>
    <t>ED-51150</t>
  </si>
  <si>
    <t>ESPELHO CRISTAL, DIMENSÃO (60X90)CM, COM ESP. 4MM, EM ACABAMENTO LAPIDADO, INCLUSIVE FIXAÇÃO COM PARAFUSO TIPO FINESSON, FORNECIMENTO E INSTALAÇÃO</t>
  </si>
  <si>
    <t>PINTURA</t>
  </si>
  <si>
    <t>PREPARAÇÃO PARA EMASSAMENTO OU PINTURA (LÁTEX/ACRÍLICA) EM PAREDE, INCLUSIVE UMA (1) DEMÃO DE SELADOR ACRÍLICO</t>
  </si>
  <si>
    <t>ED-50498</t>
  </si>
  <si>
    <t>PINTURA LÁTEX (PVA) EM PAREDE, DUAS (2) DEMÃOS, EXCLUSIVE SELADOR ACRÍLICO E MASSA ACRÍLICA/CORRIDA (PVA)</t>
  </si>
  <si>
    <t>ED-50515</t>
  </si>
  <si>
    <t>PREPARAÇÃO PARA EMASSAMENTO OU PINTURA (LÁTEX/ACRÍLICA) EM TETO, INCLUSIVE UMA (1) DEMÃO DE SELADOR ACRÍLICO</t>
  </si>
  <si>
    <t>ED-50509</t>
  </si>
  <si>
    <t>PINTURA ESMALTE BASE SOLVENTE EM SUPERFÍCIE DE CONCRETO/ALVENARIA, DUAS (2) DEMÃOS, COM APLICAÇÃO MANUAL, EXCLUSIVE SELADOR ACRÍLICO E MASSA ACRÍLICA/ CORRIDA (PVA)</t>
  </si>
  <si>
    <t xml:space="preserve">PINTURA ACRÍLICA EM PAREDE, DUAS (2) DEMÃOS, EXCLUSIVE SELADOR ACRÍLICO E MASSA ACRÍLICA/CORRIDA (PVA) </t>
  </si>
  <si>
    <t>ED-50491</t>
  </si>
  <si>
    <t xml:space="preserve">PINTURA ESMALTE EM ESQUADRIAS DE FERRO, DUAS (2) DEMÃOS, INCLUSIVE UMA (1) DEMÃO DE FUNDO ANTICORROSIVO </t>
  </si>
  <si>
    <t xml:space="preserve">PINTURA ACRÍLICA PARA PISO EM PASSEIO/SUPERFÍCIE CIMENTADA, DUAS (2) DEMÃOS </t>
  </si>
  <si>
    <t>LIMPEZA FINAL PARA ENTREGA DA OBRA</t>
  </si>
  <si>
    <t>ED-9075</t>
  </si>
  <si>
    <t>FORNECIMENTO DE ANDAIME METÁLICO PARA FACHADA (LOCAÇÃO), INCLUSIVE PISO METÁLICO E SAPATAS, EXCLUSIVE MONTAGEM E DESMONTAGEM</t>
  </si>
  <si>
    <t>M2XMÊS</t>
  </si>
  <si>
    <t>ED-48246</t>
  </si>
  <si>
    <t>MONTAGEM E DESMONTAGEM DE ANDAIME METÁLICO PARA FACHADA COM PISO METÁLICO, EXCLUSIVE FORNECIMENTO DO ANDAIME E RODAPÉ/GUARDA-CORPO EM MADEIRA</t>
  </si>
  <si>
    <t>ED-50692</t>
  </si>
  <si>
    <t>PLACA DE INAUGURAÇÃO EM ALUMÍNIO FUNDIDO 85 X 50 CM</t>
  </si>
  <si>
    <t>Louças e Metais</t>
  </si>
  <si>
    <t>Pedras</t>
  </si>
  <si>
    <t>Acessórios</t>
  </si>
  <si>
    <t>OBRA: REFORMA GINÁSIO SÃO PEDRO</t>
  </si>
  <si>
    <t>DATA: MAIO/2026</t>
  </si>
  <si>
    <t>ESQUADRIAS</t>
  </si>
  <si>
    <t>ED-23035</t>
  </si>
  <si>
    <t>ED-23033</t>
  </si>
  <si>
    <t>ED-48329</t>
  </si>
  <si>
    <t>7.1</t>
  </si>
  <si>
    <t>ED-50466</t>
  </si>
  <si>
    <t>COBERTURA EM TELHA DE FIBROCIMENTO, TIPO ONDULADA, ESP . 5MM, COM RECOBRIMENTO TRANSVERSAL E LONGITUDINAL, EXCLUSIVE CUMEEIRA E ENGRADAMENTO, INCLUSIVE ACESSÓRIOS DE FIXAÇÃO E IÇAMENTO MANUAL VERTICAL</t>
  </si>
  <si>
    <t>ED-48423</t>
  </si>
  <si>
    <t>TAMPA CIRCULAR PARA ESGOTO E DRENAGEM, EM CONCRETO PRÉ-MOLDADO, DIÂMETRO INTERNO = 0,60 M E ALTURA = 0,10 M. AF_12/2020 - Obs. Retangular</t>
  </si>
  <si>
    <t>CABO UNIPOLAR DE COBRE FLEXÍVEL, CLASSE 5, ISOLAMENTO TIPO EPR/HEPR, NÃO HALOGENADO E ANTICHAMA, DIÂMETRO DA SEÇÃO DE 1,5MM2, TEMPERATURA DE TRABALHO 90°C, TENSÃO NOMINAL DE OPERAÇÃO 0,6/1KV</t>
  </si>
  <si>
    <t>ED-48986</t>
  </si>
  <si>
    <t>CABO DE COBRE FLEXÍVEL, CLASSE 5, ISOLAMENTO TIPO EPR/ HEPR, NÃO HALOGENADO, ANTICHAMA, TERMOFIXO, UNIPOLAR, SEÇÃO 2,5 MM2, 90°C, 0,6/1KV - Obs. Tomadas simples e refletores</t>
  </si>
  <si>
    <t>CONJUNTO DE UM (1) INTERRUPTOR SIMPLES, CORRENTE 10A, TENSÃO 250V, (10A-250V), COM PLACA 4"X2" DE UM (1) POSTO, INCLUSIVE FORNECIMENTO, INSTALAÇÃO, SUPORTE, MÓDULO E PLACA</t>
  </si>
  <si>
    <t>ED-15733</t>
  </si>
  <si>
    <t>CONJUNTO DE UM (1) INTERRUPTORES SIMPLES, CORRENTE 10A, TENSÃO 250V, (10A-250V), UM (1) INTERRUPTOR PARALELO, CORRENTE 10A, TENSÃO 250V, (10A-250V) E UMA (1) TOMADA PADRÃO, TRÊS (3) POLOS, CORRENTE 20A, TENSÃO 250V, (2P+T/ 20A-250V), COM PLACA 4"X2" DE TRÊS (3) POSTOS, INCLUSIVE FORNECIMENTO, INSTALAÇÃO, SUPORTE, MÓDULO E PLACA</t>
  </si>
  <si>
    <t>ED-15779</t>
  </si>
  <si>
    <t>CABO UNIPOLAR DE COBRE FLEXÍVEL, CLASSE 5, ISOLAMENTO TIPO EPR/HEPR, NÃO HALOGENADO E ANTICHAMA, DIÂMETRO DA SEÇÃO DE 6MM2, TEMPERATURA DE TRABALHO 90°C, TENSÃO NOMINAL DE OPERAÇÃO 0,6/1KV</t>
  </si>
  <si>
    <t>ED-48995</t>
  </si>
  <si>
    <t>CABO UNIPOLAR DE COBRE FLEXÍVEL, CLASSE 5, ISOLAMENTO TIPO EPR/HEPR, NÃO HALOGENADO E ANTICHAMA, DIÂMETRO DA SEÇÃO DE 16MM2, TEMPERATURA DE TRABALHO 90°C, TENSÃO NOMINAL DE OPERAÇÃO 0,6/1KV</t>
  </si>
  <si>
    <t>ED-49001</t>
  </si>
  <si>
    <t>ED-28728</t>
  </si>
  <si>
    <t>RODAFORRO EM PVC, TIPO "U", NA COR BRANCA, PARA FORRO EM RÉGUA DE PVC, INCLUSIVE ACESSÓRIOS PARA FIXAÇÃO</t>
  </si>
  <si>
    <t>ED-28751</t>
  </si>
  <si>
    <t>3.5</t>
  </si>
  <si>
    <t>3.6</t>
  </si>
  <si>
    <t>3.7</t>
  </si>
  <si>
    <t>3.8</t>
  </si>
  <si>
    <t>COBERTURA  E FORRO</t>
  </si>
  <si>
    <t>Vestiário Fem</t>
  </si>
  <si>
    <t>Vestiário Masc</t>
  </si>
  <si>
    <t>Pé-direito</t>
  </si>
  <si>
    <t>Horizontal</t>
  </si>
  <si>
    <t>Vertical</t>
  </si>
  <si>
    <t>Banheiro Fem</t>
  </si>
  <si>
    <t>Banheiro Masc</t>
  </si>
  <si>
    <t>Área</t>
  </si>
  <si>
    <t>Perímetro</t>
  </si>
  <si>
    <t>Quadra</t>
  </si>
  <si>
    <t>Arquibancada</t>
  </si>
  <si>
    <t>Corredor</t>
  </si>
  <si>
    <t>Da arquibancada</t>
  </si>
  <si>
    <t>Do portão de acesso aos vestiários</t>
  </si>
  <si>
    <t>Da lateral da quadra</t>
  </si>
  <si>
    <t>PISOS E REVESTIMENTOS</t>
  </si>
  <si>
    <t>ED-48482</t>
  </si>
  <si>
    <t>ED-48502</t>
  </si>
  <si>
    <t>ED-48435</t>
  </si>
  <si>
    <t>Latex</t>
  </si>
  <si>
    <t>Acrílica</t>
  </si>
  <si>
    <t>Esmalte</t>
  </si>
  <si>
    <t>Revestimento Cerâmico</t>
  </si>
  <si>
    <t>Pintura</t>
  </si>
  <si>
    <t>Lateral Esquerda Ginásio</t>
  </si>
  <si>
    <t>Lateral Esquerda Muro</t>
  </si>
  <si>
    <t xml:space="preserve">Do portão de entrada - </t>
  </si>
  <si>
    <t>DEMOLIÇÃO MANUAL DE PISO VINÍLICO, INCLUSIVE AFASTAMENTO E EMPILHAMENTO, EXCLUSIVE TRANSPORTE E RETIRADA DO MATERIAL DEMOLIDO  - Obs. Quadra (444,55) e Banheiros (19,67) - piso emborrachado</t>
  </si>
  <si>
    <t>DEMOLIÇÃO MANUAL DE REVESTIMENTO CERÂMICO, AZULEJO OU LADRILHO HIDRÁULICO, INCLUSIVE AFASTAMENTO E EMPILHAMENTO, EXCLUSIVE DEMOLIÇÃO DO REBOCO OU EMBOÇO, TRANSPORTE E RETIRADA DO MATERIAL DEMOLIDO - Banheiros</t>
  </si>
  <si>
    <t>4.2</t>
  </si>
  <si>
    <t>Pisos</t>
  </si>
  <si>
    <t>BANHEIROS E VESTIÁRIOS</t>
  </si>
  <si>
    <t>ED-50754</t>
  </si>
  <si>
    <t xml:space="preserve">REVESTIMENTO COM PORCELANATO APLICADO EM PISO, ACABAMENTO POLÍDO, AMBIENTE INTERNO, PADRÃO EXTRA, BORDA RETIFICADA, DIMENSÃO DA PEÇA (60X60)CM, ASSENTAMENTO COM ARGAMASSA INDUSTRIALIZADA, INCLUSIVE REJUNTAMENTO - Obs. Acabamento acetinado </t>
  </si>
  <si>
    <t>CAMADA DE REGULARIZAÇÃO COM ARGAMASSA, TRAÇO 1:3 ( CIMENTO E AREIA), ESP. 15MM, APLICAÇÃO MANUAL, INCLUSIVE ARGAMASSA COM PREPARO MECANIZADO</t>
  </si>
  <si>
    <t>ED-13286</t>
  </si>
  <si>
    <t>SOLEIRA DE GRANITO, COR CINZA ANDORINHA, ESP. 2CM, ACABAMENTO POLIDO, ASSENTAMENTO COM ARGAMASSA INDUSTRIALIZADA, INCLUSIVE REJUNTAMENTO</t>
  </si>
  <si>
    <t>ED-51002</t>
  </si>
  <si>
    <t>FORRO EM RÉGUA DE PVC, LARGURA 20CM, NA COR BRANCA, INCLUSIVE ESTRUTURA DE FIXAÇÃO E PENDURAIS METÁLICOS E ACESSÓRIOS DE FIXAÇÃO, EXCLUSIVE RODAFORRO OU MOLDURA - Obs. Vestiários</t>
  </si>
  <si>
    <t>Instalações</t>
  </si>
  <si>
    <t>ÁREA EXTERNA, CALÇADA, VAGAS DE ESTACIONAMENTO</t>
  </si>
  <si>
    <t>DEMOLIÇÃO MANUAL DE PISO CIMENTADO OU CONTRAPISO DE ARGAMASSA, COM ESPESSURA MÁXIMA DE 10CM, INCLUSIVE AFASTAMENTO E EMPILHAMENTO, EXCLUSIVE TRANSPORTE E RETIRADA DO MATERIAL DEMOLIDO</t>
  </si>
  <si>
    <t>ED-48479</t>
  </si>
  <si>
    <t>ED-50547</t>
  </si>
  <si>
    <t>Revestimento em parede</t>
  </si>
  <si>
    <t>REVESTIMENTO COM CERÂMICA APLICADO EM PAREDE, ACABAMENTO ESMALTADO, AMBIENTE INTERNO/EXTERNO, PADRÃO EXTRA, DIMENSÃO DA PEÇA ATÉ 2025 CM2, PEI III, ASSENTAMENTO COM ARGAMASSA INDUSTRIALIZADA, INCLUSIVE REJUNTAMENTO</t>
  </si>
  <si>
    <t>ED-9081</t>
  </si>
  <si>
    <t>ED-50732</t>
  </si>
  <si>
    <t>ED-48353</t>
  </si>
  <si>
    <t>HIDRÁULICA</t>
  </si>
  <si>
    <t>Paredes e teto</t>
  </si>
  <si>
    <t>Metálica</t>
  </si>
  <si>
    <t>CANALETA PARA DRENAGEM, EM CONCRETO COM FCK 15MPA, MOLDADA IN LOCO, SEÇÃO 15X15CM, FORMA EM CONTRA BARRANCO, EXCLUSIVE TAMPA, INCLUSIVE ESCAVAÇÃO, REATERRO COM TRANSPORTE E RETIRADA DO MATERIAL ESCAVADO (EM CAÇAMBA)</t>
  </si>
  <si>
    <t>ED-14720</t>
  </si>
  <si>
    <t xml:space="preserve">GRELHA DE FERRO FUNDIDO SIMPLES COM REQUADRO, 150 X 1000 MM, ASSENTADA COM ARGAMASSA 1 : 3 CIMENTO: AREIA - FORNECIMENTO E INSTALAÇÃO. AF_05/2025 </t>
  </si>
  <si>
    <t>ED-50497</t>
  </si>
  <si>
    <t>ED-22766</t>
  </si>
  <si>
    <t>TRANSPORTE DE MATERIAL DE QUALQUER NATUREZA EM CAMINHÃO, DISTÂNCIA MAIOR QUE 10KM E MENOR OU IGUAL A 20KM, DENTRO DO PERÍMETRO URBANO, EXCLUSIVE CARGA, INCLUSIVE DESCARGA - Obs. Dmt 11,6km</t>
  </si>
  <si>
    <t>Externo</t>
  </si>
  <si>
    <t>Paredes</t>
  </si>
  <si>
    <t>Paredes Externas</t>
  </si>
  <si>
    <t>Porcelanato</t>
  </si>
  <si>
    <t>Tinta</t>
  </si>
  <si>
    <t xml:space="preserve">Paredes Internas Ginásio </t>
  </si>
  <si>
    <t>Piso</t>
  </si>
  <si>
    <t>Teto</t>
  </si>
  <si>
    <t>Abertura esquadrias</t>
  </si>
  <si>
    <t>BACIA SANITÁRIA EM LOUÇA BRANCA PARA PCD SEM FURO FRONTAL, COM TUBO DE LIGAÇÃO CROMADO, SEM ASSENTO - FORNECIMENTO E INSTALAÇÃO. AF_02/2026_PS</t>
  </si>
  <si>
    <t>Forro de PVC</t>
  </si>
  <si>
    <t>TORNEIRA METÁLICA HOSPITALAR, ABERTURA ALAVANCA 1/4 DE VOLTA, ACABAMENTO CROMADO, COM AREJADOR, APLICAÇÃO DE MESA, INCLUSIVE ENGATE FLEXÍVEL METÁLICO - Obs. Para PCD</t>
  </si>
  <si>
    <t>MICTÓRIO SIFONADO DE LOUÇA BRANCA, INCLUSIVE ENGATE FLEXÍVEL, EXCLUSIVE VÁLVULA DE DESCARGA</t>
  </si>
  <si>
    <t>ED-50286</t>
  </si>
  <si>
    <t>VÁLVULA DE DESCARGA METÁLICA PARA MICTÓRIO COM FECHAMENTO AUTOMÁTICO, EXCLUSIVE MICTÓRIO</t>
  </si>
  <si>
    <t>ED-50348</t>
  </si>
  <si>
    <t>REGISTRO DE PRESSÃO, TIPO BASE, ROSCÁVEL 1/2" (PARA TUBO SOLDÁVEL OU PPR DN 20MM/CPVC DN 15MM), INCLUSIVE ACABAMENTO (PADRÃO POPULAR) E CANOPLA CROMADOS</t>
  </si>
  <si>
    <t>ED-49964</t>
  </si>
  <si>
    <t>PUXADOR PARA PCD, FIXADO NA PORTA - FORNECIMENTO E INSTALAÇÃO. AF_02/2026 - Obs. Box banheiros PCD, portas de entrada banheiros e vestiários</t>
  </si>
  <si>
    <t>FERRAGENS PARA PORTA METÁLICA, DE ABRIR, COM UMA (1) FOLHAS, INCLUSIVE FECHADURA TIPO EXTERNA COM GRAU DE SEGURANÇA MÉDIO, ACABAMENTO EM ESPELHO CROMADO COM MAÇANETA MODELO ALAVANCA EM ZAMAC E DOBRADIÇA DE FERRO, MEDIDAS (3"X2.1/2"), TIPO PINO SOLTO COM BOLA, ACABAMENTO CROMADO, FORNECIMENTO, ACESSÓRIOS E
INSTALAÇÃO, EXCLUSIVE PORTA METÁLICA - Obs. Portas externas banheiros e vestiários</t>
  </si>
  <si>
    <t>ED-49705</t>
  </si>
  <si>
    <t>ED-48167</t>
  </si>
  <si>
    <t>BARRA DE APOIO EM AÇO INOX POLIDO PARA LAVATÓRIO DE CANTO, DIÂMETRO DE 1.1/4", PARA ACESSIBILIDADE (PMR/PCR), INSTALADO EM PAREDE, INCLUSIVE ACESSÓRIOS PARA FIXAÇÃO - Obs. Duas barras em U em cada lavatório</t>
  </si>
  <si>
    <t>BARRA DE APOIO EM AÇO INOX POLIDO RETA, DIÂMETRO DE 1.1/ 4", PARA ACESSIBILIDADE (PMR/PCR), COMPRIMENTO 80CM, INSTALADO EM PAREDE, INCLUSIVE ACESSÓRIOS PARA FIXAÇÃO</t>
  </si>
  <si>
    <t>ED-48160</t>
  </si>
  <si>
    <t>BARRA DE APOIO EM AÇO INOX POLIDO EM "L", DIÂMETRO DE 1.1/ 4", PARA ACESSIBILIDADE (PMR/PCR), COMPRIMENTO 140CM, INSTALADO EM PAREDE, INCLUSIVE ACESSÓRIOS PARA FIXAÇÃO</t>
  </si>
  <si>
    <t>ED-48165</t>
  </si>
  <si>
    <t>ED-48337</t>
  </si>
  <si>
    <t>ED-50320</t>
  </si>
  <si>
    <t>SIFÃO DE METAL PARA LAVATÓRIO, TIPO COPO COM ACABAMENTO CROMADO, DIÂMETRO DE (1"X1.1/2"), INCLUSIVE ACESSÓRIOS - Obs. Complemento Bancada em aço inoxidável</t>
  </si>
  <si>
    <t>VÁLVULA DE ESCOAMENTO DE METAL PARA TANQUE, DIÂMETRO DE 1.1/4", ACABAMENTO CROMADO, INCLUSIVE ACESSÓRIOS - Obs. Complemento Bancada em aço inoxidável</t>
  </si>
  <si>
    <t>ED-50349</t>
  </si>
  <si>
    <t>LAVATÓRIO DE LOUÇA BRANCA SEM COLUNA, TAMANHO MÉDIO, INCLUSIVE ACESSÓRIOS DE FIXAÇÃO, VÁLVULA DE ESCOAMENTO DE METAL COM ACABAMENTO CROMADO, SIFÃO DE METAL TIPO COPO COM ACABAMENTO CROMADO E REJUNTAMENTO, EXCLUSIVE TORNEIRA E ENGATE FLEXÍVEL - Obs. Para PCD</t>
  </si>
  <si>
    <t>ED-50283</t>
  </si>
  <si>
    <t>FORNECIMENTO E ASSENTAMENTO DE TUBO PVC RÍGIDO, ESGOTO, PB - SÉRIE NORMAL, DN 40MM (1.1/2"), INCLUSIVE CONEXÕES</t>
  </si>
  <si>
    <t>ED-50034</t>
  </si>
  <si>
    <t>FORNECIMENTO E ASSENTAMENTO DE TUBO PVC RÍGIDO, ESGOTO, PBV - SÉRIE NORMAL, DN 75 MM (3"), INCLUSIVE CONEXÕES</t>
  </si>
  <si>
    <t>ED-50028</t>
  </si>
  <si>
    <t>FORNECIMENTO E ASSENTAMENTO DE TUBO PVC RÍGIDO SOLDÁVEL, ÁGUA FRIA, DN 20 MM (1/2"), INCLUSIVE CONEXÕES</t>
  </si>
  <si>
    <t>ED-50018</t>
  </si>
  <si>
    <t>FORNECIMENTO E ASSENTAMENTO DE TUBO PVC RÍGIDO SOLDÁVEL, ÁGUA FRIA, DN 40 MM (1.1/4"), INCLUSIVE CONEXÕES</t>
  </si>
  <si>
    <t>ED-50021</t>
  </si>
  <si>
    <t>DEMOLIÇÕES E REMOÇÕES</t>
  </si>
  <si>
    <t>RALO SIFONADO PVC QUADRADO 100 X 53 X 40 MM COM GRELHA BRANCA</t>
  </si>
  <si>
    <t>ED-49953</t>
  </si>
  <si>
    <t>FORNECIMENTO E ASSENTAMENTO DE TUBO PVC RÍGIDO, DRENAGEM/PLUVIAL, PBV - SÉRIE NORMAL, DN 75 MM (3"), INCLUSIVE CONEXÕES</t>
  </si>
  <si>
    <t>ED-48668</t>
  </si>
  <si>
    <t>RASGO EM ALVENARIA PARA PASSAGEM DE ELETRODUTO/ TUBULAÇÃO, DIÂMETROS DE 15MM A 25MM (1/2" A 1"), EXCLUSIVE ENCHIMENTO</t>
  </si>
  <si>
    <t>ED-50707</t>
  </si>
  <si>
    <t>RASGO EM ALVENARIA PARA PASSAGEM DE ELETRODUTO/ TUBULAÇÃO, DIÂMETROS DE 32MM A 50MM (1.1/4" A 2"), EXCLUSIVE ENCHIMENTO</t>
  </si>
  <si>
    <t>ED-50708</t>
  </si>
  <si>
    <t>RASGO EM CONCRETO PARA PASSAGEM DE ELETRODUTO/ TUBULAÇÃO, DIÂMETROS DE 32MM A 50MM (1.1/4" A 2"), EXCLUSIVE ENCHIMENTO</t>
  </si>
  <si>
    <t>ED-50711</t>
  </si>
  <si>
    <t>ENCHIMENTO DE RASGO EM ALVENARIA/CONCRETO COM ARGAMASSA, DIÂMETRO DE 15MM A 25MM (1/2" A 1"), INCLUSIVE ARGAMASSA, TRAÇO 1:2:8 (CIMENTO, CAL E AREIA), COM PREPARO MECANIZADO</t>
  </si>
  <si>
    <t>ED-50704</t>
  </si>
  <si>
    <t>ENCHIMENTO DE RASGO EM ALVENARIA/CONCRETO COM ARGAMASSA, DIÂMETRO DE 32MM A 50MM (1.1/4" A 2"), INCLUSIVE ARGAMASSA, TRAÇO 1:2:8 (CIMENTO, CAL E AREIA), COM PREPARO MECANIZADO</t>
  </si>
  <si>
    <t>ED-50705</t>
  </si>
  <si>
    <t>ENCHIMENTO DE RASGO EM ALVENARIA/CONCRETO COM ARGAMASSA, DIÂMETRO DE 65MM A 100MM (2.1/2" A 4"), INCLUSIVE ARGAMASSA, TRAÇO 1:2:8 (CIMENTO, CAL E AREIA), PREPARO MECÂNICO</t>
  </si>
  <si>
    <t>ED-50706</t>
  </si>
  <si>
    <t>RASGO EM CONCRETO PARA PASSAGEM DE ELETRODUTO/ TUBULAÇÃO, DIÂMETROS DE 65MM A 100MM (2.1/2" A 4"), EXCLUSIVE ENCHIMENTO</t>
  </si>
  <si>
    <t>ED-50712</t>
  </si>
  <si>
    <t>4.5</t>
  </si>
  <si>
    <t>5.1.1</t>
  </si>
  <si>
    <t>5.1.1.1</t>
  </si>
  <si>
    <t>5.1.1.2</t>
  </si>
  <si>
    <t>5.1.1.3</t>
  </si>
  <si>
    <t>5.1.2</t>
  </si>
  <si>
    <t>5.1.3</t>
  </si>
  <si>
    <t>5.1.3.1</t>
  </si>
  <si>
    <t>5.1.3.2</t>
  </si>
  <si>
    <t>6.3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</si>
  <si>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</si>
  <si>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</si>
  <si>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</si>
  <si>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</si>
  <si>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</si>
  <si>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</si>
  <si>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</si>
  <si>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</si>
  <si>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7.1.9</t>
  </si>
  <si>
    <t>7.1.10</t>
  </si>
  <si>
    <t>7.1.11</t>
  </si>
  <si>
    <t>7.1.12</t>
  </si>
  <si>
    <t>7.1.13</t>
  </si>
  <si>
    <t>7.1.14</t>
  </si>
  <si>
    <t>7.1.15</t>
  </si>
  <si>
    <t>7.1.16</t>
  </si>
  <si>
    <t>7.2.5</t>
  </si>
  <si>
    <t>7.2.6</t>
  </si>
  <si>
    <t>7.2.7</t>
  </si>
  <si>
    <t>7.2.8</t>
  </si>
  <si>
    <t>7.2.10</t>
  </si>
  <si>
    <t>7.2.11</t>
  </si>
  <si>
    <t>7.2.12</t>
  </si>
  <si>
    <t>7.2.13</t>
  </si>
  <si>
    <t>7.2.14</t>
  </si>
  <si>
    <t>7.2.15</t>
  </si>
  <si>
    <t>7.3</t>
  </si>
  <si>
    <t>7.3.1</t>
  </si>
  <si>
    <t>7.3.2</t>
  </si>
  <si>
    <t>7.3.3</t>
  </si>
  <si>
    <t>7.3.4</t>
  </si>
  <si>
    <t>7.4.3</t>
  </si>
  <si>
    <t>7.4.6</t>
  </si>
  <si>
    <t>7.4.7</t>
  </si>
  <si>
    <t>7.4.10</t>
  </si>
  <si>
    <t>7.4.11</t>
  </si>
  <si>
    <t>7.4.12</t>
  </si>
  <si>
    <t>8.2.1</t>
  </si>
  <si>
    <t>8.3.1</t>
  </si>
  <si>
    <t>8.1.1</t>
  </si>
  <si>
    <t>10.1</t>
  </si>
  <si>
    <t>10.2</t>
  </si>
  <si>
    <t>10.3</t>
  </si>
  <si>
    <t>10.4</t>
  </si>
  <si>
    <t>10.5</t>
  </si>
  <si>
    <t>10.6</t>
  </si>
  <si>
    <t>ED-48467</t>
  </si>
  <si>
    <t>REMOÇÃO DE LOUÇAS, DE FORMA MANUAL, SEM REAPROVEITAMENTO. AF_09/2023</t>
  </si>
  <si>
    <t>REMOÇÃO DE METAIS SANITÁRIOS, DE FORMA MANUAL, SEM REAPROVEITAMENTO. AF_09/2023</t>
  </si>
  <si>
    <t>REMOÇÃO DE LOUÇAS (LAVATÓRIO, BANHEIRA, PIA, VASO SANITÁRIO, TANQUE), COM REAPROVEITAMENTO, INCLUSIVE AFASTAMENTO E EMPILHAMENTO, EXCLUSIVE TRANSPORTE E RETIRADA DO MATERIAL REMOVIDO NÃO REAPROVEITÁVEL - Obs. Bacias sanitárias serão reassentadas</t>
  </si>
  <si>
    <t>Diversas</t>
  </si>
  <si>
    <t>ED-28438</t>
  </si>
  <si>
    <t>ALÇAPÃO (60X60)CM COM QUADRO DE CANTONEIRA METÁLICA 1"X 1/8", TAMPA EM CANTONEIRA 7/8"X 1/8" E CHAPA METÁLICA Nº18 VINCADA, INCLUSIVE FERROLHO, CADEADO E PINTURA ANTICORROSIVA</t>
  </si>
  <si>
    <t>ED-50923</t>
  </si>
  <si>
    <t>REMOÇÃO DE PORTAS, DE FORMA MANUAL, SEM REAPROVEITAMENTO. AF_09/2023 - Obs. 6 portas de madeira e um alçapão</t>
  </si>
  <si>
    <t>REMOÇÃO DE LUMINÁRIAS, DE FORMA MANUAL, SEM REAPROVEITAMENTO. AF_09/2023</t>
  </si>
  <si>
    <t>TRANSPORTE DE MATERIAL DE QUALQUER NATUREZA COM CARRINHO DE MÃO, COM DISTÂNCIAS MENORES OU IGUAIS A 50M, INCLUSIVE CARGA/DESCARGA</t>
  </si>
  <si>
    <t>ED-51133</t>
  </si>
  <si>
    <t>3.9</t>
  </si>
  <si>
    <t>3.10</t>
  </si>
  <si>
    <t>3.11</t>
  </si>
  <si>
    <t>3.12</t>
  </si>
  <si>
    <t>3.13</t>
  </si>
  <si>
    <t>ED-49404</t>
  </si>
  <si>
    <t>REFLETOR DE LED, POTÊNCIA DE 200W, EXCLUSIVE SUPORTE E POSTE - Obs. 8 de cada lado da quadra, 2 na fachada frontal e 1 na lateral</t>
  </si>
  <si>
    <t>LUMINÁRIA ARANDELA TIPO TARTARUGA BLINDADA, PARA UMA (1 ) LÂMPADA BASE E-27, POTÊNCIA MÁXIMA 60W, FORNECIMENTO E INSTALAÇÃO, EXCLUSIVE LÂMPADA - Obs. Área externa dos banheiros e vestiários</t>
  </si>
  <si>
    <t>RAMPA ÁREA EXTERNA DOS VESTIÁRIOS E BANHEIROS</t>
  </si>
  <si>
    <t>ESCAVAÇÃO MANUAL DE TERRA (DESATERRO MANUAL), INCLUSIVE DESCARGA LATERAL, EXCLUSIVE RETIRADA E TRANSPORTE DO MATERIAL ESCAVADO</t>
  </si>
  <si>
    <t>ED-51110</t>
  </si>
  <si>
    <t>REGULARIZAÇÃO E COMPACTAÇÃO DE TERRENO MANUAL COM SOQUETE, EXCLUSIVE DESMATAMENTO, DESTOCAMENTO, LIMPEZA/ROÇADA DO TERRENO</t>
  </si>
  <si>
    <t>ED-51122</t>
  </si>
  <si>
    <t>5.1.4</t>
  </si>
  <si>
    <t>ED-32000</t>
  </si>
  <si>
    <t>ED-32097</t>
  </si>
  <si>
    <t>GUARDA-CORPO EXTERNO, ALTURA 130CM, EM TUBO GALVANIZADO, COM COSTURA, DIÂMETRO 2", ESP. 3MM, GRADIL COM DIVISÃO HORIZONTAL EM TUBO GALVANIZADO, COM COSTURA, DIÂMETRO 1", ESP. 3MM, INCLUSIVE CORRIMÃO DUPLO , EXCLUSIVE PINTURA  - Obs. Rampa área de acesso aos banheiros e vestiários</t>
  </si>
  <si>
    <t>KG</t>
  </si>
  <si>
    <t>SOLDA DE TOPO EM CHAPA/PERFIL/TUBO DE AÇO CHANFRADO, ESPESSURA=1/2''. AF_06/2018</t>
  </si>
  <si>
    <t>PINTURA COM FUNDO ANTICORROSIVO (ZARCÃO) EM ESQUADRIA E SUPERFÍCIE METÁLICA, UMA (1) DEMÃO, INCLUSIVE PREPARAÇÃO DA SUPERFÍCIE COM LIXAMENTO</t>
  </si>
  <si>
    <t>ED-50532</t>
  </si>
  <si>
    <t>JATEAMENTO ABRASIVO COM GRANALHA DE AÇO EM PERFIL METÁLICO EM FÁBRICA. AF_01/2020</t>
  </si>
  <si>
    <t>BANCO INTERNO EM CONCRETO E ALVENARIA, ACABAMENTO EM VERNIZ, E = 8 CM, L = 40 CM - Obs. Vestiário -  Acabamento em tinta esmalte</t>
  </si>
  <si>
    <t>CHAPA DE ACO GROSSA, ASTM A36, E = 1/2" (12,70 MM) 99,59 KG/M2 - Obs. Pilares</t>
  </si>
  <si>
    <t>TUBO ACO GALVANIZADO COM COSTURA, CLASSE LEVE, DN 25 MM (1"), E = 2,65 MM, *2,11* KG/M (NBR 5580) - Obs. Guarda-corpo rampa de entrada</t>
  </si>
  <si>
    <t>Recuperação de perfis metálicos corroídos</t>
  </si>
  <si>
    <t>Mobiliário Urbano</t>
  </si>
  <si>
    <t>10.7</t>
  </si>
  <si>
    <t xml:space="preserve">TELHAMENTO COM TELHA ONDULADA DE FIBRA DE VIDRO E = 0,6 MM, PARA TELHADO COM INCLINAÇÃO MAIOR QUE 10°, COM ATÉ 2 ÁGUAS, INCLUSO IÇAMENTO. AF_07/2019 - Substituição das telhas translúcidas </t>
  </si>
  <si>
    <t>LIMPEZA DE BACIA SANITÁRIA, BIDÊ OU MICTÓRIO EM LOUÇA, INCLUSIVE METAIS CORRESPONDENTES. AF_10/2025_PS - Obs. Bacias reaproveitadas</t>
  </si>
  <si>
    <t>MATED-11705</t>
  </si>
  <si>
    <t>MATED-12601</t>
  </si>
  <si>
    <t>ED-50363</t>
  </si>
  <si>
    <t>AJUDANTE DE BOMBEIRO/ENCANADOR COM ENCARGOS COMPLEMENTARES - Obs. Reassentamento bacias sanitárias reaproveitadas - Baseado composição item ED-50298 - 1,22h/unid</t>
  </si>
  <si>
    <t>PARAFUSO (TIPO: CASTELO|MATERIAL: LATÃO|NÚMERO: 10|ARRUELA: INCLUSA|BUCHA: INCLUSA) - Obs. Reassentamento bacias sanitárias reaproveitadas - Baseado composição item ED-50298 - 2unid por cada</t>
  </si>
  <si>
    <t>ANEL DE VEDAÇÃO PARA SAÍDA DE VASO SANITÁRIO COM GUIA (DIÂMETRO DA SEÇÃO: 100MM) - Obs. Reassentamento bacias sanitárias reaproveitadas - Baseado composição item ED-50298</t>
  </si>
  <si>
    <t>ED-50368</t>
  </si>
  <si>
    <t>REJUNTADOR COM ENCARGOS COMPLEMENTARES Obs. Reassentamento bacias sanitárias reaproveitadas - Baseado composição item ED-50298 - 0,49h/unid</t>
  </si>
  <si>
    <t>ED-50374</t>
  </si>
  <si>
    <t>BOMBEIRO/ENCANADOR COM ENCARGOS COMPLEMENTARES - Obs. Reassentamento bacias sanitárias reaproveitadas - Baseado composição item ED-50298 - 2,44 h/unid</t>
  </si>
  <si>
    <t>ED-9135</t>
  </si>
  <si>
    <t>TUBO DE LIGAÇÃO DE ÁGUA PARA BACIA SANITÁRIA (VASO), DIÂMETRO DE 1.1/2", COMPRIMENTO 25CM, INCLUSIVE CANOPLA, BOLSA ESPUDE E ACESSÓRIOS - Obs. Bacias reaproveitadas</t>
  </si>
  <si>
    <t>7.2.16</t>
  </si>
  <si>
    <t>7.2.17</t>
  </si>
  <si>
    <t>7.2.18</t>
  </si>
  <si>
    <t>7.2.19</t>
  </si>
  <si>
    <t>7.2.20</t>
  </si>
  <si>
    <t>8.1.2</t>
  </si>
  <si>
    <t>8.1.3</t>
  </si>
  <si>
    <t>8.1.4</t>
  </si>
  <si>
    <t>8.1.5</t>
  </si>
  <si>
    <t>PAPELEIRA DE PAREDE EM METAL CROMADO SEM TAMPA, INCLUSO FIXAÇÃO. AF_02/2026</t>
  </si>
  <si>
    <t>ED-48189</t>
  </si>
  <si>
    <t>DISTRIBUIDOR/DISPENSER PARA ÁLCOOL EM GEL OU SABONETE LÍQUIDO, EM PLÁSTICO, CAPACIDADE RESERVATÓRIO 1500ML, INCLUSIVE ACESSÓRIOS PARA FIXAÇÃO - Obs. Banheiro masculino e Lavatório externo</t>
  </si>
  <si>
    <t>DISTRIBUIDOR/DISPENSER PARA ÁLCOOL EM GEL OU SABONETE LÍQUIDO, EM PLÁSTICO, CAPACIDADE RESERVATÓRIO 800ML, INCLUSIVE ACESSÓRIOS PARA FIXAÇÃO - Obs. Banheiro feminino</t>
  </si>
  <si>
    <t>ED-50265</t>
  </si>
  <si>
    <t>LAVAGEM DE FACHADA COM HIDROJATEAMENTO, EXCLUSIVE ANDAIME METÁLICO, TIPO FIXO/TORRE/SUSPENSO, PARA FACHADA - Obs. Telhas metálicas</t>
  </si>
  <si>
    <t>LAMPADA LED 10 W BIVOLT BRANCA, FORMATO TRADICIONAL (BASE E27) - Obs. Complemento arandela</t>
  </si>
  <si>
    <t>CONJUNTO DE UM (1) MÓDULO COM FURO PARA SAÍDA DE FIO Ø10MM, COM PLACA 4"X2" DE UM (1) POSTO, INCLUSIVE FORNECIMENTO, INSTALAÇÃO, SUPORTE, MÓDULO E PLACA</t>
  </si>
  <si>
    <t>ED-15763</t>
  </si>
  <si>
    <t>ED-49187</t>
  </si>
  <si>
    <t>CAIXA DE LIGAÇÃO/PASSAGEM EM PVC RÍGIDO PARA ELETRODUTO, DIMENSÃO 4"X2", EMBUTIDA EM ALVENARIA, INCLUSIVE FIXAÇÃO - Obs. Chuveiros e Interruptor banheiro feminino</t>
  </si>
  <si>
    <t>Tomadas e interruptores</t>
  </si>
  <si>
    <t>Luminárias</t>
  </si>
  <si>
    <t>Infraestrutura elétrica</t>
  </si>
  <si>
    <t>6.1.1</t>
  </si>
  <si>
    <t>6.1.2</t>
  </si>
  <si>
    <t>6.1.3</t>
  </si>
  <si>
    <t>6.1.4</t>
  </si>
  <si>
    <t>6.1.5</t>
  </si>
  <si>
    <t>6.2.1</t>
  </si>
  <si>
    <t>6.2.2</t>
  </si>
  <si>
    <t>6.2.3</t>
  </si>
  <si>
    <t>ELETRODUTO FLEXÍVEL CORRUGADO EM PVC, ANTI-CHAMA, DIÂMETRO DE 20MM (1/2"), APLICADO EM ALVENARIA, INCLUSIVE RASGO</t>
  </si>
  <si>
    <t>ED-49413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</si>
  <si>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</si>
  <si>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</si>
  <si>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</si>
  <si>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</si>
  <si>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</si>
  <si>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</si>
  <si>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</si>
  <si>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</si>
  <si>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6.3.9</t>
  </si>
  <si>
    <t>6.3.10</t>
  </si>
  <si>
    <t>6.3.11</t>
  </si>
  <si>
    <t xml:space="preserve">TARJETA CROMADA, TIPO LIVRE/OCUPADO, INSTALADA EM PORTA DE SANITÁRIO, INCLUSIVE ACESSÓRIOS PARA FIXAÇÃO </t>
  </si>
  <si>
    <t>9.1</t>
  </si>
  <si>
    <t>9.2</t>
  </si>
  <si>
    <t>9.3</t>
  </si>
  <si>
    <t>9.4</t>
  </si>
  <si>
    <t>9.5</t>
  </si>
  <si>
    <t>9.6</t>
  </si>
  <si>
    <t>4.6</t>
  </si>
  <si>
    <t>5.1.4.1</t>
  </si>
  <si>
    <t>5.1.4.2</t>
  </si>
  <si>
    <t>5.1.4.3</t>
  </si>
  <si>
    <t>ED-48501</t>
  </si>
  <si>
    <t>DEMOLIÇÃO MANUAL DE REBOCO OU EMBOÇO, COM ESPESSURA DE ATÉ 55MM, INCLUSIVE AFASTAMENTO E EMPILHAMENTO, EXCLUSIVE TRANSPORTE E RETIRADA DO MATERIAL DEMOLIDO - Obs. Recuperação de rebocos daterioarados</t>
  </si>
  <si>
    <t>RAMPA PARA ACESSO DE DEFICIENTE, EM CONCRETO SIMPLES FCK = 25 MPA, DESEMPENADA, COM PINTURA INDICATIVA, 02 DEMÃOS</t>
  </si>
  <si>
    <t>ED-51148</t>
  </si>
  <si>
    <t>ED-50490</t>
  </si>
  <si>
    <t>RAMPA DE ACESSIBILIDADE PARA ACESSO A EDIFICAÇÕES COM INCLINAÇÃO DE 8,33% EM CONCRETO MOLDADO IN LOCO, COM LARGURA DE 1,20M, FCK 25MPA, NÃO ARMADA, COM JUNTA A CADA 2M COM CORTE À SECO. AF_03/2024</t>
  </si>
  <si>
    <t>PINTURA ACRÍLICA PARA PISO EM PASSEIO/SUPERFÍCIE CIMENTADA, DUAS (2) DEMÃOS, COM APLICAÇÃO MANUAL - Obs. Pintura indicativa de rampa de deficiente na calçada lateral existente - Referência na composição do item ED-51148</t>
  </si>
  <si>
    <t>5.1.3.3</t>
  </si>
  <si>
    <t>5.1.3.4</t>
  </si>
  <si>
    <t>PINTURA EPÓXI EM FAIXAS DE DEMARCAÇÃO DE PISO, LARGURA DE 5 CM, DUAS (2) DEMÃOS, COM APLICAÇÃO MANUAL</t>
  </si>
  <si>
    <t>LIMPEZA DE SUPERFÍCIE PISO OU PAREDE COM JATO DE ALTA PRESSÃO. AF_10/2025 - Obs. Área externa dos Banheiros e Vestiários</t>
  </si>
  <si>
    <t>PISO CIMENTADO COM ARGAMASSA, TRAÇO 1:3 (CIMENTO E AREIA), ESP. 25MM, ACABAMENTO DESEMPENADO E FELTRADO, MODULAÇÃO DE (100X100)CM, INCLUSIVE JUNTA PLÁSTICA - Obs. Recuperação de piso deteriorado</t>
  </si>
  <si>
    <t>PINTURA ESMALTE BASE SOLVENTE EM SUPERFÍCIE DE MADEIRA , DUAS (2) DEMÃOS, COM APLICAÇÃO MANUAL, INCLUSIVE PREPARAÇÃO DA SUPERFÍCIE COM LIXAMENTO, EXCLUSIVE FUNDO NIVELADOR E MASSA A ÓLEO - Obs. Viga da área externa dos banheiros e vestiáios</t>
  </si>
  <si>
    <t>ED-50759</t>
  </si>
  <si>
    <t>ED-48231</t>
  </si>
  <si>
    <t>ALVENARIA DE VEDAÇÃO COM TIJOLO CERÂMICO FURADO, ESP. 9CM, PARA REVESTIMENTO, INCLUSIVE ARGAMASSA PARA ASSENTAMENTO - Obs. Banheiro feminino para mudança na posição da porta</t>
  </si>
  <si>
    <t>ED-50727</t>
  </si>
  <si>
    <t>3.14</t>
  </si>
  <si>
    <t>PINTURA ESMALTE BASE SOLVENTE EM ESTRUTURA METÁLICA, DUAS (2) DEMÃOS, COM APLICAÇÃO MANUAL, INCLUSIVE UMA (1) DEMÃO FUNDO GALVANIZADO - Obs. Pilares e Engradamento - Baseado composição item ED-20577: 1,131m² de pintura para cada m² de cobertura de ginásio</t>
  </si>
  <si>
    <t>8.2.2</t>
  </si>
  <si>
    <t>8.2.3</t>
  </si>
  <si>
    <t>8.2.4</t>
  </si>
  <si>
    <t>8.3.2</t>
  </si>
  <si>
    <t>8.3.3</t>
  </si>
  <si>
    <t>Área descoberta fundo descoberta</t>
  </si>
  <si>
    <t>Área descoberta fundo coberta</t>
  </si>
  <si>
    <t>PINTURA COM TINTA A BASE DE BORRACHA CLORADA EM TELHAS DE FIBROCIMENTO, DUAS (2) DEMÃOS, COM APLICAÇÃO MANUAL - Obs. Todo o telhado de fibrocimento, inclusive teto aparente em telhas (beiral)</t>
  </si>
  <si>
    <t>PINTURA ACRÍLICA EM TETO, DUAS (2) DEMÃOS, COM APLICAÇÃO MANUAL, INCLUSIVE UMA (1) DEMÃO DE MASSA CORRIDA (PVA), EXCLUSIVE SELADOR ACRÍLICO</t>
  </si>
  <si>
    <t>ED-50456</t>
  </si>
  <si>
    <t>5.2.1</t>
  </si>
  <si>
    <t>5.2.2</t>
  </si>
  <si>
    <t>5.2.3</t>
  </si>
  <si>
    <t>5.2.4</t>
  </si>
  <si>
    <t>5.2.5</t>
  </si>
  <si>
    <t>Lateral Esquerda Ginásio área de desnível</t>
  </si>
  <si>
    <t xml:space="preserve">Frontal -2,1m barrado esmalte </t>
  </si>
  <si>
    <t>Frontal área de desnível</t>
  </si>
  <si>
    <t>BEBEDOURO DE PRESSÃO, TIPO ACESSÍVEL COM ACABAMENTO EM AÇO INOX, PRESSÃO DA REDE MÍNIMA REFERENCIAL DE 6M.C. A, INCLUSIVE ACESSÓRIOS E INSTALAÇÃO</t>
  </si>
  <si>
    <t>ED-15575</t>
  </si>
  <si>
    <t>BEBEDOURO DE COLUNA/PRESSÃO,TIPO ADULTO COM ACABAMENTO EM AÇO INOX, PRESSÃO DA REDE MÍNIMA REFERENCIAL DE 6M.C.A, INCLUSIVE ACESSÓRIOS</t>
  </si>
  <si>
    <t>ED-48169</t>
  </si>
  <si>
    <t>ED-29071</t>
  </si>
  <si>
    <t xml:space="preserve">M </t>
  </si>
  <si>
    <t>9.7</t>
  </si>
  <si>
    <t>ED-50644</t>
  </si>
  <si>
    <t>9.8</t>
  </si>
  <si>
    <t>PLACA DE ALUMÍNIO, DIMENSÃO (15X15)CM, COM PICTOGRAMA EM PELÍCULA ADESIVA, INCLUSIVE FIXAÇÃO - Obs. Vestiários, Banheiros e Box PCD</t>
  </si>
  <si>
    <t>PINTURA DE SÍMBOLOS E TEXTOS COM TINTA ACRÍLICA, DEMARCAÇÃO COM FITA ADESIVA E APLICAÇÃO COM ROLO. AF_05/2021 - Obs. Nome do Ginásio na fachada</t>
  </si>
  <si>
    <t>10.8</t>
  </si>
  <si>
    <t>10.8.1</t>
  </si>
  <si>
    <t>10.8.2</t>
  </si>
  <si>
    <t>10.8.3</t>
  </si>
  <si>
    <t>10.8.4</t>
  </si>
  <si>
    <t>10.8.5</t>
  </si>
  <si>
    <t>POSTE DE VÔLEI OU PETECA OFICIAL (PAR) COM REDE, EM TUBO DE AÇO, DIÂMETRO DE 3", TIPO TELESCÓPICO, INCLUSIVE TRATAMENTO ANTICORROSIVO E PINTURA</t>
  </si>
  <si>
    <t>ED-49572</t>
  </si>
  <si>
    <t>BANCADA EM AÇO INOXIDÁVEL, ESP. 4CM, PREENCHIDA COM CONCRETO E TELA DE AÇO Q-138, ACABAMENTO POLIDO, APOIADO EM CONSOLE DE CANTONEIRA, ESP. 1/8" OU 3,17MM, INCLUSIVE CUBA E RODABANCA/FRONTÃO, EXCLUSIVE VÁLVULA, SIFÃO E TORNEIRA - Obs. Lavatório externo aos banheiros 60X150</t>
  </si>
  <si>
    <t>ENGENHEIRO CIVIL DE OBRA JUNIOR COM ENCARGOS COMPLEMENTARES - 1 hr/dia</t>
  </si>
  <si>
    <t>LIXAMENTO E DESBASTE MECANIZADO EM PISO DE CONCRETO</t>
  </si>
  <si>
    <t>ED-20344</t>
  </si>
  <si>
    <t>PREPARO DO PISO CIMENTADO PARA PINTURA - LIXAMENTO E LIMPEZA. AF_05/2021</t>
  </si>
  <si>
    <t>PINTURA EPÓXI EM PISO, DUAS (2) DEMÃOS, COM APLICAÇÃO MANUAL, INCLUSIVE UMA (1) DEMÃO DE PRIMER EPÓXI - Obs. Item contempla limpeza da superfície</t>
  </si>
  <si>
    <t>PISO INDUSTRIAL COM ARGAMASSA DE ALTA RESISTÊNCIA, COR CINZA, ESP. 8MM, ACABAMENTO POLIDO, MODULAÇÃO DE (1X1)M, INCLUSIVE JUNTA PLÁSTICA E POLIMENTO MECANIZADO, EXCLUSIVE RESINA - Obs. Modulação 3x3 com junta serrada</t>
  </si>
  <si>
    <t>5.1.1.4</t>
  </si>
  <si>
    <t>5.1.1.5</t>
  </si>
  <si>
    <t>PAR DE REDE DE BASQUETE PROFISSIONAL, DE SEDA CHUÁ FIO 4MM</t>
  </si>
  <si>
    <t>COTAÇÃO</t>
  </si>
  <si>
    <t>COT-01</t>
  </si>
  <si>
    <t>COT-02</t>
  </si>
  <si>
    <t>PAR DE REDE PARA TRAVE DE FUTSAL, EM NYLON E FIO DE 2MM</t>
  </si>
  <si>
    <t xml:space="preserve">COTAÇÃO </t>
  </si>
  <si>
    <t>COT-03</t>
  </si>
  <si>
    <t>PAR DE ANTENA PARA REDE DE VÔLEI DE OFICIAL, DE 1,80M DE COMPRIMENTO, EM FIBRA DE VIDRO MACIÇA, E PINTURA EM VERMELHO E BRANCA</t>
  </si>
  <si>
    <t>Acessórios esportivos</t>
  </si>
  <si>
    <t>10.7.1</t>
  </si>
  <si>
    <t>10.7.2</t>
  </si>
  <si>
    <t>10.7.3</t>
  </si>
  <si>
    <t>10.7.4</t>
  </si>
  <si>
    <t>10.7.5</t>
  </si>
  <si>
    <t>TAPUME DE PROTEÇÃO PARA TRANSEUNTE EM TELA DE POLIETILENO, COM MÓDULO NA DIMENSÃO DE (150X150)CM, INCLUSIVE PONTALETE COM BASE DE APOIO EM CONCRETO MAGRO, FORNECIMENTO E MOVIMENTAÇÃO</t>
  </si>
  <si>
    <t>ED-50163</t>
  </si>
  <si>
    <t>DEMOLIÇÃO MANUAL DE ALVENARIA DE TIJOLO CERÂMICO OU BLOCO DE CONCRETO, INCLUSIVE AFASTAMENTO E EMPILHAMENTO, EXCLUSIVE TRANSPORTE E RETIRADA DO MATERIAL DEMOLIDO - Divisórias box banheiros revestidas com ladrilho hidráulico e aumento do vão de 3 portas de 70cm para 90cm, mudança de posicionamento de uma porta de 70cm, demolição de arquibancada 2metros lineares centralizado</t>
  </si>
  <si>
    <t>CORRIMÃO DUPLO EM TUBO GALVANIZADO, COM COSTURA, DIÂMETRO DE 1.1/2", ESP. 3MM, FIXADO EM ALVENARIA, INCLUSIVE SUPORTE PARA CORRIMÃO EM BARRA CHATA (1"X1/2") , EXCLUSIVE PINTURA - Obs. Rampa área de acesso aos banheiros e vestiários (2,5m) e guarda-corpo nas laterais da arquibancada demolida mantendo o padrão do existente (apenas dois tubos), 2m de cada lado</t>
  </si>
  <si>
    <t>PRAZO DE EXECUÇÃO: 4 MESES</t>
  </si>
  <si>
    <t>8.1.6</t>
  </si>
  <si>
    <t>7.4.9</t>
  </si>
  <si>
    <t>Industrial Polido com Tinta Epóxi</t>
  </si>
  <si>
    <t xml:space="preserve">Calçada, estacionamento e rampa portão </t>
  </si>
  <si>
    <t xml:space="preserve">Tinta </t>
  </si>
  <si>
    <t xml:space="preserve">QUADRA </t>
  </si>
  <si>
    <t>10</t>
  </si>
  <si>
    <t xml:space="preserve"> ENCARREGADO GERAL COM ENCARGOS COMPLEMENTARES - Obs. 4hrs/dia</t>
  </si>
  <si>
    <t>GINÁSIO SÃO PEDRO</t>
  </si>
  <si>
    <t>TOTAL ITEM 10:</t>
  </si>
  <si>
    <t>PORTA METÁLICA VENEZIANA, TIPO DE ABRIR, COM UMA (1) FOLHA, EM PERFIL VENEZIANA ENRIJECIDO, INCLUSIVE PINTURA ANTICORROSIVA A BASE DE ÓXIDO DE FERRO (ZARCÃO), UMA (1) DEMÃO, FORNECIMENTO E ASSENTAMENTO, EXCLUSIVE FECHADURA E DOBRADIÇA - Obs. Portas de entrada dos banheiros e vestiários 90X210</t>
  </si>
  <si>
    <t>PORTA EM ALUMÍNIO DE ABRIR TIPO VENEZIANA COM GUARNIÇÃO, FIXAÇÃO COM PARAFUSOS - FORNECIMENTO E INSTALAÇÃO. AF_10/2025 - Obs. Box dos banheiros - três de 70x160 e duas de 90x160</t>
  </si>
  <si>
    <t>ACABAMENTO EM ARGAMASSA, TRAÇO 1 :3 (CIMENTO E AREIA), COM PREPARO MECANIZADO, PARA REQUADRO DE PAINEL, QUADRO OU CAIXA, EXCLUSIVE RASGO EM ALVENARIA - Obs. Requadro portas</t>
  </si>
  <si>
    <t>PRATELEIRA EM GRANITO, COR CINZA ANDORINHA, ESP. 2CM, ACABAMENTO POLIDO, APOIADA EM CONSOLE DE METALON (30X20)MM, INCLUSIVE FIXAÇÃO - Obs. Vestiários - 50x280 em cada</t>
  </si>
  <si>
    <t>BANCADA EM GRANITO, COR CINZA ANDORINHA, ESP. 2CM, ACABAMENTO POLIDO, APOIADA EM CONSOLE DE METALON ( 50X30)MM, EXCLUSIVE RODABANCA/FRONTÃO, TESTEIRA/FAIXA, FURO EM BANCADA, CUBA METÁLICA, VÁLVULA, SIFÃO, TORNEIRA E ENGATE FLEXÍVEL - Obs. 55x120 Banheiro Feminino</t>
  </si>
  <si>
    <t>EMBOÇO COM ARGAMASSA, TRAÇO 1:6 (CIMENTO E AREIA), ESP. 20MM, APLICAÇÃO MANUAL, INCLUSIVE ARGAMASSA COM PREPARO MECANIZADO, EXCLUSIVE CHAPISCO - Obs. 10mm de espessura - Regularização da parede</t>
  </si>
  <si>
    <t>5.1.1.6</t>
  </si>
  <si>
    <t>310ML</t>
  </si>
  <si>
    <t>TARUGO DELIMITADOR DE PROFUNDIDADE EM ESPUMA DE POLIETILENO DE BAIXA DENSIDADE 10 MM, CINZA - Obs. Selar as juntas de dilatação (255m) - 6mm - considerado 60% da metragem linear de 255m de juntas, ou seja, 153m</t>
  </si>
  <si>
    <t>SELANTE ELASTICO MONOCOMPONENTE A BASE DE POLIURETANO (PU) PARA JUNTAS DIVERSAS - Obs. Selar as juntas de dilatação (255m)</t>
  </si>
  <si>
    <t xml:space="preserve">PEDREIRO COM ENCARGOS COMPLEMENTARES - Obs. Selar as juntas de dilatação (255m) - 1,1655 h/m de acordo com composição do item 98577 </t>
  </si>
  <si>
    <t xml:space="preserve">SERVENTE COM ENCARGOS COMPLEMENTARES - Obs. Selar as juntas de dilatação (255m) - 0,2359 h/m de acordo com composição do item 98577 </t>
  </si>
  <si>
    <t>5.1.1.7</t>
  </si>
  <si>
    <t>5.1.1.8</t>
  </si>
  <si>
    <t>5.1.1.9</t>
  </si>
  <si>
    <t>LOCAL: RUA MAESTRO FIRMO, Nº 160 - BAIRRO VILA SÃO PEDRO</t>
  </si>
  <si>
    <t>COORDENADAS GEOGRÁFICAS: 19°35'03''S   46°56'26''W</t>
  </si>
  <si>
    <t xml:space="preserve">REGIÃO/MÊS DE REFERÊNCIA: SINAPI:    FEVEREIRO/2026 - SEINFRA: JANEIRO/2026 </t>
  </si>
  <si>
    <t xml:space="preserve">PINTURA COM TINTA ALQUÍDICA DE ACABAMENTO (ESMALTE SINTÉTICO ACETINADO) ULVERIZADA SOBRE SUPERFÍCIES METÁLICAS (EXCETO PERFIL) EXECUTADO EM OBRA (02 DEMÃOS). AF_01/2020_PE - Obs. Alambrado, telhas metálicas e grades janelas </t>
  </si>
  <si>
    <t>PINTURA ESMALTE BASE SOLVENTE EM POSTES OU TUBULAÇÕES, COM DIÂMETRO MENORES QUE 3.1/2" (88,9MM), COM DUAS (2) DEMÃOS, INCLUSIVE PREPARAÇÃO DA SUPERFÍCIE COM LIXAMENTO - Obs. Traves, estrutura cesta de basquete, corrimãos e guardas-corpo</t>
  </si>
  <si>
    <t>CHAPISCO COM ARGAMASSA, TRAÇO 1:3 (CIMENTO E AREIA), ESP . 5MM, APLICADO EM ALVENARIA/ESTRUTURA DE CONCRETO COM COLHER, INCLUSIVE ARGAMASSA COM PREPARO MECANIZADO - Obs. 3,78 de alvenaria nova, 6,4 para faces onde a arquibancada foi demolida</t>
  </si>
  <si>
    <t>REBOCO COM ARGAMASSA, TRAÇO 1:7 (CIMENTO E AREIA), ESP. 20MM, APLICAÇÃO MANUAL, INCLUSIVE ARGAMASSA COM PREPARO MECANIZADO, EXCLUSIVE CHAPISCO - Obs. Recuperação de rebocos deteriorados (10m²), alvenaria de vedação nova (3,78m²) e faces arquibancada (6,4m²)</t>
  </si>
  <si>
    <t>8.1.7</t>
  </si>
  <si>
    <t>10.6.1</t>
  </si>
  <si>
    <t>10.6.2</t>
  </si>
  <si>
    <t>10.6.3</t>
  </si>
  <si>
    <t>10.6.4</t>
  </si>
  <si>
    <t>10.7.6</t>
  </si>
  <si>
    <t xml:space="preserve">Projeto: </t>
  </si>
  <si>
    <t>RUA MAESTRO FIRMO, Nº 160 - BAIRRO VILA SÃO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</si>
</sst>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00000"/>
    <numFmt numFmtId="166" formatCode="0.000"/>
    <numFmt numFmtId="167" formatCode="_-&quot;R$&quot;\ * #,##0.0000_-;\-&quot;R$&quot;\ * #,##0.0000_-;_-&quot;R$&quot;\ * &quot;-&quot;??_-;_-@_-"/>
    <numFmt numFmtId="168" formatCode="&quot;R$ &quot;#,##0.00"/>
    <numFmt numFmtId="169" formatCode="_-&quot;R$&quot;\ * #,##0.000_-;\-&quot;R$&quot;\ * #,##0.000_-;_-&quot;R$&quot;\ * &quot;-&quot;??_-;_-@_-"/>
    <numFmt numFmtId="170" formatCode="_-&quot;R$&quot;\ * #,##0.000_-;\-&quot;R$&quot;\ * #,##0.000_-;_-&quot;R$&quot;\ * &quot;-&quot;?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7">
    <xf numFmtId="0" fontId="0" fillId="0" borderId="0" xfId="0"/>
    <xf numFmtId="0" fontId="6" fillId="2" borderId="31" xfId="0" applyFont="1" applyFill="1" applyBorder="1" applyAlignment="1">
      <alignment vertical="center"/>
    </xf>
    <xf numFmtId="0" fontId="0" fillId="0" borderId="31" xfId="0" applyBorder="1"/>
    <xf numFmtId="0" fontId="0" fillId="0" borderId="32" xfId="0" applyBorder="1"/>
    <xf numFmtId="0" fontId="3" fillId="3" borderId="11" xfId="0" applyFont="1" applyFill="1" applyBorder="1" applyAlignment="1">
      <alignment horizontal="center"/>
    </xf>
    <xf numFmtId="0" fontId="5" fillId="3" borderId="12" xfId="0" applyFont="1" applyFill="1" applyBorder="1"/>
    <xf numFmtId="0" fontId="3" fillId="3" borderId="12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wrapText="1"/>
    </xf>
    <xf numFmtId="2" fontId="5" fillId="0" borderId="12" xfId="0" applyNumberFormat="1" applyFont="1" applyFill="1" applyBorder="1" applyAlignment="1">
      <alignment horizontal="center" vertical="center"/>
    </xf>
    <xf numFmtId="44" fontId="5" fillId="0" borderId="12" xfId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2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44" fontId="5" fillId="0" borderId="12" xfId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166" fontId="5" fillId="0" borderId="12" xfId="0" applyNumberFormat="1" applyFont="1" applyBorder="1" applyAlignment="1">
      <alignment horizontal="center" vertical="center" wrapText="1"/>
    </xf>
    <xf numFmtId="167" fontId="5" fillId="0" borderId="14" xfId="1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0" fillId="0" borderId="0" xfId="0" applyFill="1"/>
    <xf numFmtId="0" fontId="0" fillId="0" borderId="0" xfId="0" applyAlignment="1">
      <alignment horizontal="center"/>
    </xf>
    <xf numFmtId="0" fontId="9" fillId="0" borderId="20" xfId="0" applyFont="1" applyBorder="1" applyAlignment="1"/>
    <xf numFmtId="168" fontId="13" fillId="5" borderId="12" xfId="0" applyNumberFormat="1" applyFont="1" applyFill="1" applyBorder="1" applyAlignment="1">
      <alignment horizontal="center" vertical="center" wrapText="1"/>
    </xf>
    <xf numFmtId="10" fontId="12" fillId="5" borderId="12" xfId="0" applyNumberFormat="1" applyFont="1" applyFill="1" applyBorder="1" applyAlignment="1">
      <alignment horizontal="center" vertical="top" wrapText="1"/>
    </xf>
    <xf numFmtId="4" fontId="0" fillId="0" borderId="0" xfId="0" applyNumberFormat="1"/>
    <xf numFmtId="168" fontId="12" fillId="5" borderId="31" xfId="0" applyNumberFormat="1" applyFont="1" applyFill="1" applyBorder="1" applyAlignment="1">
      <alignment horizontal="center" vertical="center" wrapText="1"/>
    </xf>
    <xf numFmtId="10" fontId="12" fillId="6" borderId="8" xfId="4" applyNumberFormat="1" applyFont="1" applyFill="1" applyBorder="1" applyAlignment="1">
      <alignment horizontal="center" vertical="top" wrapText="1"/>
    </xf>
    <xf numFmtId="10" fontId="12" fillId="6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Fill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169" fontId="5" fillId="0" borderId="13" xfId="1" applyNumberFormat="1" applyFont="1" applyBorder="1" applyAlignment="1">
      <alignment horizontal="center" vertical="center"/>
    </xf>
    <xf numFmtId="169" fontId="5" fillId="0" borderId="14" xfId="1" applyNumberFormat="1" applyFont="1" applyFill="1" applyBorder="1" applyAlignment="1">
      <alignment horizontal="center" vertical="center"/>
    </xf>
    <xf numFmtId="169" fontId="5" fillId="0" borderId="14" xfId="1" applyNumberFormat="1" applyFont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9" fontId="5" fillId="0" borderId="15" xfId="1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170" fontId="5" fillId="2" borderId="14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65" fontId="3" fillId="7" borderId="11" xfId="2" applyNumberFormat="1" applyFont="1" applyFill="1" applyBorder="1" applyAlignment="1">
      <alignment horizontal="center" vertical="center" wrapText="1"/>
    </xf>
    <xf numFmtId="165" fontId="3" fillId="7" borderId="12" xfId="2" applyNumberFormat="1" applyFont="1" applyFill="1" applyBorder="1" applyAlignment="1">
      <alignment horizontal="center" vertical="center" wrapText="1"/>
    </xf>
    <xf numFmtId="0" fontId="3" fillId="7" borderId="12" xfId="2" applyFont="1" applyFill="1" applyBorder="1" applyAlignment="1">
      <alignment horizontal="center" vertical="center" wrapText="1" shrinkToFit="1"/>
    </xf>
    <xf numFmtId="0" fontId="3" fillId="7" borderId="12" xfId="2" applyFont="1" applyFill="1" applyBorder="1" applyAlignment="1">
      <alignment horizontal="center" vertical="center" wrapText="1"/>
    </xf>
    <xf numFmtId="166" fontId="3" fillId="7" borderId="12" xfId="2" applyNumberFormat="1" applyFont="1" applyFill="1" applyBorder="1" applyAlignment="1">
      <alignment horizontal="center" vertical="center" wrapText="1"/>
    </xf>
    <xf numFmtId="166" fontId="3" fillId="7" borderId="13" xfId="2" applyNumberFormat="1" applyFont="1" applyFill="1" applyBorder="1" applyAlignment="1">
      <alignment horizontal="center" vertical="center" wrapText="1"/>
    </xf>
    <xf numFmtId="164" fontId="3" fillId="7" borderId="14" xfId="3" applyFont="1" applyFill="1" applyBorder="1" applyAlignment="1">
      <alignment horizontal="center" vertical="center" wrapText="1"/>
    </xf>
    <xf numFmtId="167" fontId="3" fillId="8" borderId="14" xfId="1" applyNumberFormat="1" applyFont="1" applyFill="1" applyBorder="1" applyAlignment="1">
      <alignment horizontal="center" vertical="center"/>
    </xf>
    <xf numFmtId="169" fontId="3" fillId="8" borderId="14" xfId="1" applyNumberFormat="1" applyFont="1" applyFill="1" applyBorder="1" applyAlignment="1">
      <alignment horizontal="center" vertical="center"/>
    </xf>
    <xf numFmtId="169" fontId="3" fillId="8" borderId="27" xfId="1" applyNumberFormat="1" applyFont="1" applyFill="1" applyBorder="1" applyAlignment="1">
      <alignment horizontal="center" vertical="center"/>
    </xf>
    <xf numFmtId="167" fontId="3" fillId="8" borderId="33" xfId="1" applyNumberFormat="1" applyFont="1" applyFill="1" applyBorder="1" applyAlignment="1">
      <alignment horizontal="center" vertical="center"/>
    </xf>
    <xf numFmtId="44" fontId="15" fillId="4" borderId="45" xfId="0" applyNumberFormat="1" applyFont="1" applyFill="1" applyBorder="1" applyAlignment="1"/>
    <xf numFmtId="0" fontId="3" fillId="6" borderId="12" xfId="0" applyFont="1" applyFill="1" applyBorder="1" applyAlignment="1">
      <alignment horizontal="left" vertical="center" wrapText="1"/>
    </xf>
    <xf numFmtId="44" fontId="5" fillId="6" borderId="12" xfId="1" applyFont="1" applyFill="1" applyBorder="1" applyAlignment="1">
      <alignment horizontal="center" vertical="center"/>
    </xf>
    <xf numFmtId="169" fontId="5" fillId="6" borderId="14" xfId="1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left"/>
    </xf>
    <xf numFmtId="0" fontId="5" fillId="6" borderId="12" xfId="0" applyFont="1" applyFill="1" applyBorder="1"/>
    <xf numFmtId="0" fontId="5" fillId="6" borderId="13" xfId="0" applyFont="1" applyFill="1" applyBorder="1"/>
    <xf numFmtId="0" fontId="3" fillId="6" borderId="11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12" xfId="0" applyNumberFormat="1" applyFont="1" applyFill="1" applyBorder="1" applyAlignment="1">
      <alignment horizontal="center" vertical="center"/>
    </xf>
    <xf numFmtId="169" fontId="5" fillId="6" borderId="15" xfId="1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/>
    </xf>
    <xf numFmtId="10" fontId="12" fillId="6" borderId="13" xfId="0" applyNumberFormat="1" applyFont="1" applyFill="1" applyBorder="1" applyAlignment="1">
      <alignment horizontal="center" vertical="top" wrapText="1"/>
    </xf>
    <xf numFmtId="168" fontId="13" fillId="5" borderId="13" xfId="0" applyNumberFormat="1" applyFont="1" applyFill="1" applyBorder="1" applyAlignment="1">
      <alignment horizontal="center" vertical="center" wrapText="1"/>
    </xf>
    <xf numFmtId="10" fontId="12" fillId="5" borderId="13" xfId="0" applyNumberFormat="1" applyFont="1" applyFill="1" applyBorder="1" applyAlignment="1">
      <alignment horizontal="center" vertical="top" wrapText="1"/>
    </xf>
    <xf numFmtId="167" fontId="5" fillId="6" borderId="14" xfId="0" applyNumberFormat="1" applyFont="1" applyFill="1" applyBorder="1"/>
    <xf numFmtId="0" fontId="5" fillId="0" borderId="19" xfId="0" applyFont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/>
    </xf>
    <xf numFmtId="44" fontId="5" fillId="0" borderId="12" xfId="1" applyFont="1" applyFill="1" applyBorder="1" applyAlignment="1">
      <alignment horizontal="center" vertical="center"/>
    </xf>
    <xf numFmtId="0" fontId="7" fillId="0" borderId="33" xfId="0" applyFont="1" applyBorder="1"/>
    <xf numFmtId="170" fontId="5" fillId="0" borderId="49" xfId="0" applyNumberFormat="1" applyFont="1" applyFill="1" applyBorder="1" applyAlignment="1">
      <alignment horizontal="center" vertical="center"/>
    </xf>
    <xf numFmtId="169" fontId="5" fillId="0" borderId="12" xfId="1" applyNumberFormat="1" applyFont="1" applyBorder="1" applyAlignment="1">
      <alignment horizontal="center" vertical="center"/>
    </xf>
    <xf numFmtId="0" fontId="3" fillId="3" borderId="26" xfId="0" applyFont="1" applyFill="1" applyBorder="1" applyAlignment="1">
      <alignment horizontal="left"/>
    </xf>
    <xf numFmtId="0" fontId="5" fillId="0" borderId="28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left" wrapText="1"/>
    </xf>
    <xf numFmtId="44" fontId="5" fillId="0" borderId="28" xfId="1" applyFont="1" applyBorder="1" applyAlignment="1">
      <alignment vertical="center"/>
    </xf>
    <xf numFmtId="169" fontId="5" fillId="0" borderId="28" xfId="1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166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/>
    </xf>
    <xf numFmtId="169" fontId="5" fillId="6" borderId="49" xfId="1" applyNumberFormat="1" applyFont="1" applyFill="1" applyBorder="1" applyAlignment="1">
      <alignment horizontal="center" vertical="center"/>
    </xf>
    <xf numFmtId="169" fontId="5" fillId="6" borderId="12" xfId="1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left" wrapText="1"/>
    </xf>
    <xf numFmtId="2" fontId="5" fillId="6" borderId="12" xfId="0" applyNumberFormat="1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9" fillId="0" borderId="19" xfId="0" applyFont="1" applyBorder="1" applyAlignment="1"/>
    <xf numFmtId="169" fontId="5" fillId="0" borderId="27" xfId="1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/>
    </xf>
    <xf numFmtId="169" fontId="5" fillId="0" borderId="49" xfId="1" applyNumberFormat="1" applyFont="1" applyFill="1" applyBorder="1" applyAlignment="1">
      <alignment horizontal="center" vertical="center"/>
    </xf>
    <xf numFmtId="0" fontId="0" fillId="0" borderId="12" xfId="0" applyBorder="1"/>
    <xf numFmtId="0" fontId="3" fillId="0" borderId="12" xfId="0" applyFont="1" applyBorder="1" applyAlignment="1">
      <alignment horizontal="left" vertical="center" wrapText="1"/>
    </xf>
    <xf numFmtId="169" fontId="5" fillId="0" borderId="20" xfId="1" applyNumberFormat="1" applyFont="1" applyBorder="1" applyAlignment="1">
      <alignment horizontal="center" vertical="center"/>
    </xf>
    <xf numFmtId="0" fontId="3" fillId="3" borderId="13" xfId="0" applyFont="1" applyFill="1" applyBorder="1" applyAlignment="1"/>
    <xf numFmtId="0" fontId="3" fillId="3" borderId="20" xfId="0" applyFont="1" applyFill="1" applyBorder="1" applyAlignment="1"/>
    <xf numFmtId="0" fontId="3" fillId="3" borderId="49" xfId="0" applyFont="1" applyFill="1" applyBorder="1" applyAlignment="1"/>
    <xf numFmtId="0" fontId="5" fillId="6" borderId="13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5" fillId="0" borderId="2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0" xfId="0" applyBorder="1"/>
    <xf numFmtId="0" fontId="0" fillId="0" borderId="0" xfId="0" applyBorder="1"/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8" xfId="0" applyBorder="1" applyAlignment="1">
      <alignment horizontal="center"/>
    </xf>
    <xf numFmtId="168" fontId="13" fillId="5" borderId="35" xfId="0" applyNumberFormat="1" applyFont="1" applyFill="1" applyBorder="1" applyAlignment="1">
      <alignment horizontal="center" vertical="center" wrapText="1"/>
    </xf>
    <xf numFmtId="168" fontId="13" fillId="5" borderId="54" xfId="0" applyNumberFormat="1" applyFont="1" applyFill="1" applyBorder="1" applyAlignment="1">
      <alignment horizontal="center" vertical="center" wrapText="1"/>
    </xf>
    <xf numFmtId="49" fontId="11" fillId="5" borderId="13" xfId="0" applyNumberFormat="1" applyFont="1" applyFill="1" applyBorder="1" applyAlignment="1">
      <alignment horizontal="center" vertical="top" wrapText="1"/>
    </xf>
    <xf numFmtId="49" fontId="11" fillId="5" borderId="54" xfId="0" applyNumberFormat="1" applyFont="1" applyFill="1" applyBorder="1" applyAlignment="1">
      <alignment horizontal="center" vertical="top" wrapText="1"/>
    </xf>
    <xf numFmtId="49" fontId="14" fillId="5" borderId="9" xfId="0" applyNumberFormat="1" applyFont="1" applyFill="1" applyBorder="1" applyAlignment="1">
      <alignment horizontal="center" vertical="top" wrapText="1"/>
    </xf>
    <xf numFmtId="49" fontId="14" fillId="5" borderId="32" xfId="0" applyNumberFormat="1" applyFont="1" applyFill="1" applyBorder="1" applyAlignment="1">
      <alignment horizontal="center" vertical="top" wrapText="1"/>
    </xf>
    <xf numFmtId="10" fontId="12" fillId="5" borderId="21" xfId="0" applyNumberFormat="1" applyFont="1" applyFill="1" applyBorder="1" applyAlignment="1">
      <alignment horizontal="center" vertical="top" wrapText="1"/>
    </xf>
    <xf numFmtId="168" fontId="13" fillId="5" borderId="21" xfId="0" applyNumberFormat="1" applyFont="1" applyFill="1" applyBorder="1" applyAlignment="1">
      <alignment horizontal="center" vertical="center" wrapText="1"/>
    </xf>
    <xf numFmtId="10" fontId="12" fillId="6" borderId="21" xfId="0" applyNumberFormat="1" applyFont="1" applyFill="1" applyBorder="1" applyAlignment="1">
      <alignment horizontal="center" vertical="top" wrapText="1"/>
    </xf>
    <xf numFmtId="168" fontId="13" fillId="5" borderId="55" xfId="0" applyNumberFormat="1" applyFont="1" applyFill="1" applyBorder="1" applyAlignment="1">
      <alignment horizontal="center" vertical="center" wrapText="1"/>
    </xf>
    <xf numFmtId="10" fontId="12" fillId="6" borderId="50" xfId="4" applyNumberFormat="1" applyFont="1" applyFill="1" applyBorder="1" applyAlignment="1">
      <alignment horizontal="center" vertical="top" wrapText="1"/>
    </xf>
    <xf numFmtId="168" fontId="12" fillId="5" borderId="38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/>
    <xf numFmtId="10" fontId="12" fillId="5" borderId="57" xfId="0" applyNumberFormat="1" applyFont="1" applyFill="1" applyBorder="1" applyAlignment="1">
      <alignment horizontal="center" vertical="top" wrapText="1"/>
    </xf>
    <xf numFmtId="168" fontId="13" fillId="5" borderId="57" xfId="0" applyNumberFormat="1" applyFont="1" applyFill="1" applyBorder="1" applyAlignment="1">
      <alignment horizontal="center" vertical="center" wrapText="1"/>
    </xf>
    <xf numFmtId="168" fontId="13" fillId="5" borderId="58" xfId="0" applyNumberFormat="1" applyFont="1" applyFill="1" applyBorder="1" applyAlignment="1">
      <alignment horizontal="center" vertical="center" wrapText="1"/>
    </xf>
    <xf numFmtId="10" fontId="12" fillId="6" borderId="56" xfId="4" applyNumberFormat="1" applyFont="1" applyFill="1" applyBorder="1" applyAlignment="1">
      <alignment horizontal="center" vertical="top" wrapText="1"/>
    </xf>
    <xf numFmtId="168" fontId="12" fillId="4" borderId="59" xfId="0" applyNumberFormat="1" applyFont="1" applyFill="1" applyBorder="1" applyAlignment="1">
      <alignment horizontal="center" vertical="center" wrapText="1"/>
    </xf>
    <xf numFmtId="10" fontId="12" fillId="6" borderId="9" xfId="4" applyNumberFormat="1" applyFont="1" applyFill="1" applyBorder="1" applyAlignment="1">
      <alignment horizontal="center" vertical="top" wrapText="1"/>
    </xf>
    <xf numFmtId="168" fontId="12" fillId="5" borderId="32" xfId="0" applyNumberFormat="1" applyFont="1" applyFill="1" applyBorder="1" applyAlignment="1">
      <alignment horizontal="center" vertical="center" wrapText="1"/>
    </xf>
    <xf numFmtId="0" fontId="2" fillId="0" borderId="27" xfId="0" applyFont="1" applyFill="1" applyBorder="1"/>
    <xf numFmtId="44" fontId="0" fillId="2" borderId="57" xfId="0" applyNumberFormat="1" applyFont="1" applyFill="1" applyBorder="1" applyAlignment="1">
      <alignment horizontal="center" vertical="center"/>
    </xf>
    <xf numFmtId="10" fontId="12" fillId="6" borderId="57" xfId="0" applyNumberFormat="1" applyFont="1" applyFill="1" applyBorder="1" applyAlignment="1">
      <alignment horizontal="center" vertical="top" wrapText="1"/>
    </xf>
    <xf numFmtId="44" fontId="0" fillId="2" borderId="58" xfId="0" applyNumberFormat="1" applyFont="1" applyFill="1" applyBorder="1" applyAlignment="1">
      <alignment horizontal="center" vertical="center"/>
    </xf>
    <xf numFmtId="168" fontId="12" fillId="5" borderId="59" xfId="0" applyNumberFormat="1" applyFont="1" applyFill="1" applyBorder="1" applyAlignment="1">
      <alignment horizontal="center" vertical="center" wrapText="1"/>
    </xf>
    <xf numFmtId="0" fontId="9" fillId="0" borderId="34" xfId="0" applyFont="1" applyBorder="1" applyAlignment="1"/>
    <xf numFmtId="0" fontId="0" fillId="0" borderId="0" xfId="0" applyBorder="1" applyAlignment="1">
      <alignment horizontal="center"/>
    </xf>
    <xf numFmtId="0" fontId="5" fillId="0" borderId="0" xfId="0" applyFont="1"/>
    <xf numFmtId="169" fontId="3" fillId="0" borderId="0" xfId="1" applyNumberFormat="1" applyFont="1" applyFill="1" applyBorder="1" applyAlignment="1">
      <alignment horizontal="center" vertical="center"/>
    </xf>
    <xf numFmtId="44" fontId="15" fillId="0" borderId="0" xfId="0" applyNumberFormat="1" applyFont="1" applyFill="1" applyBorder="1" applyAlignment="1"/>
    <xf numFmtId="0" fontId="0" fillId="0" borderId="23" xfId="0" applyBorder="1"/>
    <xf numFmtId="0" fontId="0" fillId="0" borderId="13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4" xfId="0" applyBorder="1"/>
    <xf numFmtId="0" fontId="0" fillId="0" borderId="5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26" xfId="0" applyBorder="1"/>
    <xf numFmtId="0" fontId="0" fillId="0" borderId="35" xfId="0" applyBorder="1"/>
    <xf numFmtId="0" fontId="0" fillId="0" borderId="35" xfId="0" applyBorder="1" applyAlignment="1">
      <alignment wrapText="1"/>
    </xf>
    <xf numFmtId="0" fontId="0" fillId="0" borderId="35" xfId="0" applyBorder="1" applyAlignment="1">
      <alignment horizontal="left" wrapText="1"/>
    </xf>
    <xf numFmtId="0" fontId="0" fillId="0" borderId="28" xfId="0" applyBorder="1"/>
    <xf numFmtId="0" fontId="0" fillId="0" borderId="60" xfId="0" applyBorder="1" applyAlignment="1">
      <alignment horizontal="center"/>
    </xf>
    <xf numFmtId="0" fontId="0" fillId="0" borderId="25" xfId="0" applyBorder="1"/>
    <xf numFmtId="0" fontId="17" fillId="0" borderId="4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8" xfId="0" applyBorder="1"/>
    <xf numFmtId="0" fontId="0" fillId="0" borderId="58" xfId="0" applyBorder="1" applyAlignment="1">
      <alignment horizontal="center"/>
    </xf>
    <xf numFmtId="0" fontId="0" fillId="0" borderId="58" xfId="0" applyBorder="1" applyAlignment="1">
      <alignment horizontal="center" vertical="center"/>
    </xf>
    <xf numFmtId="0" fontId="7" fillId="4" borderId="53" xfId="0" applyFont="1" applyFill="1" applyBorder="1" applyAlignment="1">
      <alignment horizontal="center" vertical="center"/>
    </xf>
    <xf numFmtId="0" fontId="7" fillId="4" borderId="53" xfId="0" applyFont="1" applyFill="1" applyBorder="1" applyAlignment="1">
      <alignment horizontal="center"/>
    </xf>
    <xf numFmtId="0" fontId="7" fillId="0" borderId="61" xfId="0" applyFont="1" applyBorder="1" applyAlignment="1">
      <alignment horizontal="center" wrapText="1"/>
    </xf>
    <xf numFmtId="0" fontId="7" fillId="0" borderId="62" xfId="0" applyFont="1" applyBorder="1" applyAlignment="1">
      <alignment horizontal="center" vertical="center"/>
    </xf>
    <xf numFmtId="0" fontId="7" fillId="0" borderId="23" xfId="0" applyFont="1" applyBorder="1" applyAlignment="1">
      <alignment wrapText="1"/>
    </xf>
    <xf numFmtId="0" fontId="7" fillId="0" borderId="56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50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/>
    </xf>
    <xf numFmtId="2" fontId="0" fillId="0" borderId="0" xfId="0" applyNumberFormat="1"/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6" borderId="13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49" xfId="0" applyFont="1" applyFill="1" applyBorder="1" applyAlignment="1">
      <alignment horizontal="center"/>
    </xf>
    <xf numFmtId="0" fontId="3" fillId="8" borderId="36" xfId="0" applyFont="1" applyFill="1" applyBorder="1" applyAlignment="1">
      <alignment horizontal="right" vertical="center" wrapText="1"/>
    </xf>
    <xf numFmtId="0" fontId="3" fillId="8" borderId="37" xfId="0" applyFont="1" applyFill="1" applyBorder="1" applyAlignment="1">
      <alignment horizontal="right" vertical="center" wrapText="1"/>
    </xf>
    <xf numFmtId="0" fontId="3" fillId="8" borderId="38" xfId="0" applyFont="1" applyFill="1" applyBorder="1" applyAlignment="1">
      <alignment horizontal="right" vertical="center" wrapText="1"/>
    </xf>
    <xf numFmtId="0" fontId="6" fillId="2" borderId="18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3" fillId="7" borderId="4" xfId="2" applyFont="1" applyFill="1" applyBorder="1" applyAlignment="1">
      <alignment horizontal="center" vertical="center"/>
    </xf>
    <xf numFmtId="0" fontId="3" fillId="7" borderId="5" xfId="2" applyFont="1" applyFill="1" applyBorder="1" applyAlignment="1">
      <alignment horizontal="center" vertical="center"/>
    </xf>
    <xf numFmtId="0" fontId="3" fillId="7" borderId="6" xfId="2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center"/>
    </xf>
    <xf numFmtId="0" fontId="3" fillId="8" borderId="19" xfId="0" applyFont="1" applyFill="1" applyBorder="1" applyAlignment="1">
      <alignment horizontal="right" vertical="center" wrapText="1"/>
    </xf>
    <xf numFmtId="0" fontId="3" fillId="8" borderId="20" xfId="0" applyFont="1" applyFill="1" applyBorder="1" applyAlignment="1">
      <alignment horizontal="right" vertical="center" wrapText="1"/>
    </xf>
    <xf numFmtId="0" fontId="3" fillId="8" borderId="21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49" xfId="0" applyFont="1" applyFill="1" applyBorder="1" applyAlignment="1">
      <alignment horizontal="center"/>
    </xf>
    <xf numFmtId="10" fontId="6" fillId="2" borderId="27" xfId="3" applyNumberFormat="1" applyFont="1" applyFill="1" applyBorder="1" applyAlignment="1">
      <alignment horizontal="center" vertical="center"/>
    </xf>
    <xf numFmtId="10" fontId="6" fillId="2" borderId="29" xfId="3" applyNumberFormat="1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right"/>
    </xf>
    <xf numFmtId="0" fontId="6" fillId="7" borderId="5" xfId="0" applyFont="1" applyFill="1" applyBorder="1" applyAlignment="1">
      <alignment horizontal="right"/>
    </xf>
    <xf numFmtId="0" fontId="6" fillId="7" borderId="39" xfId="0" applyFont="1" applyFill="1" applyBorder="1" applyAlignment="1">
      <alignment horizontal="right"/>
    </xf>
    <xf numFmtId="0" fontId="3" fillId="8" borderId="19" xfId="0" applyFont="1" applyFill="1" applyBorder="1" applyAlignment="1">
      <alignment horizontal="right" wrapText="1"/>
    </xf>
    <xf numFmtId="0" fontId="3" fillId="8" borderId="20" xfId="0" applyFont="1" applyFill="1" applyBorder="1" applyAlignment="1">
      <alignment horizontal="right" wrapText="1"/>
    </xf>
    <xf numFmtId="0" fontId="3" fillId="8" borderId="21" xfId="0" applyFont="1" applyFill="1" applyBorder="1" applyAlignment="1">
      <alignment horizontal="right" wrapText="1"/>
    </xf>
    <xf numFmtId="0" fontId="5" fillId="3" borderId="15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50" xfId="0" applyFont="1" applyFill="1" applyBorder="1" applyAlignment="1">
      <alignment horizontal="center"/>
    </xf>
    <xf numFmtId="0" fontId="5" fillId="3" borderId="51" xfId="0" applyFont="1" applyFill="1" applyBorder="1" applyAlignment="1">
      <alignment horizontal="center"/>
    </xf>
    <xf numFmtId="0" fontId="5" fillId="3" borderId="52" xfId="0" applyFont="1" applyFill="1" applyBorder="1" applyAlignment="1">
      <alignment horizont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 wrapText="1"/>
    </xf>
    <xf numFmtId="0" fontId="9" fillId="5" borderId="56" xfId="0" applyFont="1" applyFill="1" applyBorder="1" applyAlignment="1">
      <alignment horizontal="center" vertical="center" wrapText="1"/>
    </xf>
    <xf numFmtId="0" fontId="9" fillId="5" borderId="57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9" fillId="0" borderId="7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49" fontId="9" fillId="0" borderId="31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center" wrapText="1"/>
    </xf>
    <xf numFmtId="44" fontId="10" fillId="0" borderId="12" xfId="0" applyNumberFormat="1" applyFont="1" applyFill="1" applyBorder="1" applyAlignment="1">
      <alignment horizontal="left" vertical="center" wrapText="1"/>
    </xf>
    <xf numFmtId="0" fontId="9" fillId="0" borderId="22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0" borderId="13" xfId="0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0" fontId="7" fillId="0" borderId="46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</cellXfs>
  <cellStyles count="5">
    <cellStyle name="Moeda" xfId="1" builtinId="4"/>
    <cellStyle name="Normal" xfId="0" builtinId="0"/>
    <cellStyle name="Normal 2" xfId="2"/>
    <cellStyle name="Porcentagem" xfId="4" builtinId="5"/>
    <cellStyle name="Separador de milhares 2" xfId="3"/>
  </cellStyles>
  <dxfs count="15"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  <dxf>
      <fill>
        <patternFill>
          <fgColor theme="1"/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329618</xdr:colOff>
      <xdr:row>2</xdr:row>
      <xdr:rowOff>85725</xdr:rowOff>
    </xdr:from>
    <xdr:to>
      <xdr:col>9</xdr:col>
      <xdr:colOff>53766</xdr:colOff>
      <xdr:row>2</xdr:row>
      <xdr:rowOff>790575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9618" y="476250"/>
          <a:ext cx="6862606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3</xdr:row>
      <xdr:rowOff>142876</xdr:rowOff>
    </xdr:from>
    <xdr:to>
      <xdr:col>8</xdr:col>
      <xdr:colOff>295275</xdr:colOff>
      <xdr:row>6</xdr:row>
      <xdr:rowOff>84588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378B942-D7AF-45B7-8626-608B4E8FC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50" y="723901"/>
          <a:ext cx="5000625" cy="513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18"/>
  <sheetViews>
    <sheetView tabSelected="1" topLeftCell="A202" zoomScale="80" zoomScaleNormal="80" workbookViewId="0">
      <selection activeCell="L216" sqref="L216"/>
    </sheetView>
  </sheetViews>
  <sheetFormatPr defaultRowHeight="15" x14ac:dyDescent="0.25"/>
  <cols>
    <col min="3" max="3" width="9.7109375" customWidth="1"/>
    <col min="4" max="4" width="18.28515625" customWidth="1"/>
    <col min="5" max="6" width="15" customWidth="1"/>
    <col min="7" max="7" width="82.7109375" customWidth="1"/>
    <col min="8" max="8" width="10.140625" customWidth="1"/>
    <col min="9" max="9" width="14.28515625" bestFit="1" customWidth="1"/>
    <col min="10" max="10" width="15.5703125" customWidth="1"/>
    <col min="11" max="11" width="19.7109375" customWidth="1"/>
    <col min="12" max="13" width="20.7109375" customWidth="1"/>
    <col min="14" max="14" width="20.42578125" customWidth="1"/>
  </cols>
  <sheetData>
    <row r="2" spans="2:13" ht="15.75" thickBot="1" x14ac:dyDescent="0.3"/>
    <row r="3" spans="2:13" ht="72" customHeight="1" thickBot="1" x14ac:dyDescent="0.3">
      <c r="C3" s="195"/>
      <c r="D3" s="196"/>
      <c r="E3" s="196"/>
      <c r="F3" s="196"/>
      <c r="G3" s="196"/>
      <c r="H3" s="196"/>
      <c r="I3" s="196"/>
      <c r="J3" s="196"/>
      <c r="K3" s="196"/>
      <c r="L3" s="197"/>
      <c r="M3" s="114"/>
    </row>
    <row r="4" spans="2:13" ht="15.75" thickBot="1" x14ac:dyDescent="0.3">
      <c r="C4" s="214" t="s">
        <v>77</v>
      </c>
      <c r="D4" s="215"/>
      <c r="E4" s="215"/>
      <c r="F4" s="215"/>
      <c r="G4" s="215"/>
      <c r="H4" s="215"/>
      <c r="I4" s="215"/>
      <c r="J4" s="215"/>
      <c r="K4" s="215"/>
      <c r="L4" s="216"/>
      <c r="M4" s="114"/>
    </row>
    <row r="5" spans="2:13" x14ac:dyDescent="0.25">
      <c r="C5" s="217" t="s">
        <v>0</v>
      </c>
      <c r="D5" s="218"/>
      <c r="E5" s="218"/>
      <c r="F5" s="218"/>
      <c r="G5" s="218"/>
      <c r="H5" s="218"/>
      <c r="I5" s="218"/>
      <c r="J5" s="218"/>
      <c r="K5" s="219"/>
      <c r="L5" s="220"/>
      <c r="M5" s="114"/>
    </row>
    <row r="6" spans="2:13" x14ac:dyDescent="0.25">
      <c r="C6" s="221" t="s">
        <v>187</v>
      </c>
      <c r="D6" s="222"/>
      <c r="E6" s="222"/>
      <c r="F6" s="222"/>
      <c r="G6" s="222"/>
      <c r="H6" s="222"/>
      <c r="I6" s="223" t="s">
        <v>188</v>
      </c>
      <c r="J6" s="223"/>
      <c r="K6" s="224"/>
      <c r="L6" s="225"/>
      <c r="M6" s="114"/>
    </row>
    <row r="7" spans="2:13" x14ac:dyDescent="0.25">
      <c r="C7" s="206" t="s">
        <v>610</v>
      </c>
      <c r="D7" s="207"/>
      <c r="E7" s="207"/>
      <c r="F7" s="207"/>
      <c r="G7" s="207"/>
      <c r="H7" s="207"/>
      <c r="I7" s="208" t="s">
        <v>1</v>
      </c>
      <c r="J7" s="209"/>
      <c r="K7" s="210"/>
      <c r="L7" s="204" t="s">
        <v>2</v>
      </c>
      <c r="M7" s="114"/>
    </row>
    <row r="8" spans="2:13" x14ac:dyDescent="0.25">
      <c r="C8" s="228" t="s">
        <v>611</v>
      </c>
      <c r="D8" s="229"/>
      <c r="E8" s="229"/>
      <c r="F8" s="229"/>
      <c r="G8" s="229"/>
      <c r="H8" s="230"/>
      <c r="I8" s="211"/>
      <c r="J8" s="212"/>
      <c r="K8" s="213"/>
      <c r="L8" s="205"/>
      <c r="M8" s="114"/>
    </row>
    <row r="9" spans="2:13" x14ac:dyDescent="0.25">
      <c r="C9" s="228" t="s">
        <v>612</v>
      </c>
      <c r="D9" s="229"/>
      <c r="E9" s="229"/>
      <c r="F9" s="229"/>
      <c r="G9" s="229"/>
      <c r="H9" s="230"/>
      <c r="I9" s="208" t="s">
        <v>3</v>
      </c>
      <c r="J9" s="210"/>
      <c r="K9" s="243" t="s">
        <v>4</v>
      </c>
      <c r="L9" s="239">
        <v>0.26350000000000001</v>
      </c>
      <c r="M9" s="114"/>
    </row>
    <row r="10" spans="2:13" x14ac:dyDescent="0.25">
      <c r="C10" s="206" t="s">
        <v>584</v>
      </c>
      <c r="D10" s="207"/>
      <c r="E10" s="207"/>
      <c r="F10" s="207"/>
      <c r="G10" s="207"/>
      <c r="H10" s="207"/>
      <c r="I10" s="211"/>
      <c r="J10" s="213"/>
      <c r="K10" s="244"/>
      <c r="L10" s="240"/>
      <c r="M10" s="114"/>
    </row>
    <row r="11" spans="2:13" ht="15.75" thickBot="1" x14ac:dyDescent="0.3">
      <c r="C11" s="241"/>
      <c r="D11" s="242"/>
      <c r="E11" s="242"/>
      <c r="F11" s="242"/>
      <c r="G11" s="242"/>
      <c r="H11" s="242"/>
      <c r="I11" s="1"/>
      <c r="J11" s="2"/>
      <c r="K11" s="3"/>
      <c r="L11" s="77" t="s">
        <v>85</v>
      </c>
      <c r="M11" s="114"/>
    </row>
    <row r="12" spans="2:13" ht="30" x14ac:dyDescent="0.25">
      <c r="C12" s="46" t="s">
        <v>5</v>
      </c>
      <c r="D12" s="47" t="s">
        <v>6</v>
      </c>
      <c r="E12" s="47" t="s">
        <v>7</v>
      </c>
      <c r="F12" s="47"/>
      <c r="G12" s="48" t="s">
        <v>8</v>
      </c>
      <c r="H12" s="49" t="s">
        <v>9</v>
      </c>
      <c r="I12" s="50" t="s">
        <v>10</v>
      </c>
      <c r="J12" s="50" t="s">
        <v>11</v>
      </c>
      <c r="K12" s="51" t="s">
        <v>12</v>
      </c>
      <c r="L12" s="52" t="s">
        <v>13</v>
      </c>
      <c r="M12" s="114"/>
    </row>
    <row r="13" spans="2:13" x14ac:dyDescent="0.25">
      <c r="C13" s="4">
        <v>1</v>
      </c>
      <c r="D13" s="198"/>
      <c r="E13" s="231"/>
      <c r="F13" s="179"/>
      <c r="G13" s="6" t="s">
        <v>14</v>
      </c>
      <c r="H13" s="198"/>
      <c r="I13" s="199"/>
      <c r="J13" s="199"/>
      <c r="K13" s="199"/>
      <c r="L13" s="200"/>
      <c r="M13" s="114"/>
    </row>
    <row r="14" spans="2:13" ht="28.5" x14ac:dyDescent="0.25">
      <c r="C14" s="8" t="s">
        <v>15</v>
      </c>
      <c r="D14" s="12" t="s">
        <v>53</v>
      </c>
      <c r="E14" s="12" t="s">
        <v>74</v>
      </c>
      <c r="F14" s="42">
        <v>101119</v>
      </c>
      <c r="G14" s="13" t="s">
        <v>112</v>
      </c>
      <c r="H14" s="12" t="s">
        <v>18</v>
      </c>
      <c r="I14" s="14">
        <v>0.5</v>
      </c>
      <c r="J14" s="79">
        <f>K14/1.2635</f>
        <v>3465.1381084289674</v>
      </c>
      <c r="K14" s="36">
        <f>L14/I14</f>
        <v>4378.2020000000002</v>
      </c>
      <c r="L14" s="37">
        <v>2189.1010000000001</v>
      </c>
      <c r="M14" s="114"/>
    </row>
    <row r="15" spans="2:13" ht="73.5" customHeight="1" x14ac:dyDescent="0.25">
      <c r="B15" s="25"/>
      <c r="C15" s="8" t="s">
        <v>17</v>
      </c>
      <c r="D15" s="7" t="s">
        <v>31</v>
      </c>
      <c r="E15" s="40" t="s">
        <v>74</v>
      </c>
      <c r="F15" s="42">
        <v>94190</v>
      </c>
      <c r="G15" s="9" t="s">
        <v>30</v>
      </c>
      <c r="H15" s="7" t="s">
        <v>16</v>
      </c>
      <c r="I15" s="34">
        <v>1</v>
      </c>
      <c r="J15" s="11">
        <v>1187.0999999999999</v>
      </c>
      <c r="K15" s="36">
        <f>ROUND(J15*1.2635,3)</f>
        <v>1499.9010000000001</v>
      </c>
      <c r="L15" s="37">
        <f>ROUND(K15*I15,3)</f>
        <v>1499.9010000000001</v>
      </c>
      <c r="M15" s="114"/>
    </row>
    <row r="16" spans="2:13" ht="70.5" customHeight="1" x14ac:dyDescent="0.25">
      <c r="B16" s="25"/>
      <c r="C16" s="8" t="s">
        <v>19</v>
      </c>
      <c r="D16" s="12" t="s">
        <v>33</v>
      </c>
      <c r="E16" s="40" t="s">
        <v>74</v>
      </c>
      <c r="F16" s="42">
        <v>77039</v>
      </c>
      <c r="G16" s="13" t="s">
        <v>32</v>
      </c>
      <c r="H16" s="12" t="s">
        <v>21</v>
      </c>
      <c r="I16" s="34">
        <v>4</v>
      </c>
      <c r="J16" s="11">
        <v>858.58</v>
      </c>
      <c r="K16" s="36">
        <f>ROUND(J16*1.2635,3)</f>
        <v>1084.816</v>
      </c>
      <c r="L16" s="37">
        <f>ROUND(K16*I16,3)</f>
        <v>4339.2640000000001</v>
      </c>
      <c r="M16" s="114"/>
    </row>
    <row r="17" spans="2:13" ht="45.75" customHeight="1" x14ac:dyDescent="0.25">
      <c r="B17" s="25"/>
      <c r="C17" s="8" t="s">
        <v>47</v>
      </c>
      <c r="D17" s="12" t="s">
        <v>35</v>
      </c>
      <c r="E17" s="40" t="s">
        <v>74</v>
      </c>
      <c r="F17" s="42">
        <v>77040</v>
      </c>
      <c r="G17" s="13" t="s">
        <v>34</v>
      </c>
      <c r="H17" s="12" t="s">
        <v>16</v>
      </c>
      <c r="I17" s="34">
        <v>1</v>
      </c>
      <c r="J17" s="11">
        <v>1667.26</v>
      </c>
      <c r="K17" s="36">
        <f>ROUND(J17*1.2635,3)</f>
        <v>2106.5830000000001</v>
      </c>
      <c r="L17" s="37">
        <f>ROUND(K17*I17,3)</f>
        <v>2106.5830000000001</v>
      </c>
      <c r="M17" s="114"/>
    </row>
    <row r="18" spans="2:13" ht="45.75" customHeight="1" x14ac:dyDescent="0.25">
      <c r="B18" s="25"/>
      <c r="C18" s="8" t="s">
        <v>48</v>
      </c>
      <c r="D18" s="42" t="s">
        <v>581</v>
      </c>
      <c r="E18" s="42" t="s">
        <v>74</v>
      </c>
      <c r="F18" s="42">
        <v>102693</v>
      </c>
      <c r="G18" s="13" t="s">
        <v>580</v>
      </c>
      <c r="H18" s="42" t="s">
        <v>28</v>
      </c>
      <c r="I18" s="34">
        <v>70</v>
      </c>
      <c r="J18" s="11">
        <v>14.34</v>
      </c>
      <c r="K18" s="102">
        <f>ROUND(J18*1.2635,3)</f>
        <v>18.119</v>
      </c>
      <c r="L18" s="37">
        <f>ROUND(K18*I18,3)</f>
        <v>1268.33</v>
      </c>
      <c r="M18" s="114"/>
    </row>
    <row r="19" spans="2:13" x14ac:dyDescent="0.25">
      <c r="B19" s="25"/>
      <c r="C19" s="232" t="s">
        <v>43</v>
      </c>
      <c r="D19" s="233"/>
      <c r="E19" s="233"/>
      <c r="F19" s="233"/>
      <c r="G19" s="233"/>
      <c r="H19" s="233"/>
      <c r="I19" s="233"/>
      <c r="J19" s="233"/>
      <c r="K19" s="234"/>
      <c r="L19" s="53">
        <f>SUM(L14:L18)</f>
        <v>11403.179</v>
      </c>
      <c r="M19" s="114"/>
    </row>
    <row r="20" spans="2:13" x14ac:dyDescent="0.25">
      <c r="B20" s="25"/>
      <c r="C20" s="4">
        <v>2</v>
      </c>
      <c r="D20" s="198"/>
      <c r="E20" s="231"/>
      <c r="F20" s="179"/>
      <c r="G20" s="6" t="s">
        <v>24</v>
      </c>
      <c r="H20" s="198"/>
      <c r="I20" s="199"/>
      <c r="J20" s="199"/>
      <c r="K20" s="199"/>
      <c r="L20" s="200"/>
      <c r="M20" s="114"/>
    </row>
    <row r="21" spans="2:13" ht="33.75" customHeight="1" x14ac:dyDescent="0.25">
      <c r="B21" s="25"/>
      <c r="C21" s="8" t="s">
        <v>25</v>
      </c>
      <c r="D21" s="7">
        <v>90777</v>
      </c>
      <c r="E21" s="7" t="s">
        <v>20</v>
      </c>
      <c r="F21" s="7">
        <v>77247</v>
      </c>
      <c r="G21" s="9" t="s">
        <v>558</v>
      </c>
      <c r="H21" s="7" t="s">
        <v>26</v>
      </c>
      <c r="I21" s="34">
        <f>21*4</f>
        <v>84</v>
      </c>
      <c r="J21" s="11">
        <v>117.64</v>
      </c>
      <c r="K21" s="36">
        <f>ROUND(J21*1.2635,3)</f>
        <v>148.63800000000001</v>
      </c>
      <c r="L21" s="19">
        <f>ROUND(K21*I21,3)</f>
        <v>12485.592000000001</v>
      </c>
      <c r="M21" s="114"/>
    </row>
    <row r="22" spans="2:13" ht="18" customHeight="1" x14ac:dyDescent="0.25">
      <c r="B22" s="25"/>
      <c r="C22" s="8" t="s">
        <v>27</v>
      </c>
      <c r="D22" s="12">
        <v>90776</v>
      </c>
      <c r="E22" s="7" t="s">
        <v>20</v>
      </c>
      <c r="F22" s="7">
        <v>102696</v>
      </c>
      <c r="G22" s="13" t="s">
        <v>592</v>
      </c>
      <c r="H22" s="7" t="s">
        <v>26</v>
      </c>
      <c r="I22" s="35">
        <f>I21*4</f>
        <v>336</v>
      </c>
      <c r="J22" s="11">
        <v>62.3</v>
      </c>
      <c r="K22" s="36">
        <f>ROUND(J22*1.2635,3)</f>
        <v>78.715999999999994</v>
      </c>
      <c r="L22" s="19">
        <f>ROUND(K22*I22,3)</f>
        <v>26448.576000000001</v>
      </c>
      <c r="M22" s="114"/>
    </row>
    <row r="23" spans="2:13" ht="15" customHeight="1" x14ac:dyDescent="0.25">
      <c r="B23" s="25"/>
      <c r="C23" s="232" t="s">
        <v>42</v>
      </c>
      <c r="D23" s="233"/>
      <c r="E23" s="233"/>
      <c r="F23" s="233"/>
      <c r="G23" s="233"/>
      <c r="H23" s="233"/>
      <c r="I23" s="233"/>
      <c r="J23" s="233"/>
      <c r="K23" s="234"/>
      <c r="L23" s="53">
        <f>SUM(L21:L22)</f>
        <v>38934.168000000005</v>
      </c>
      <c r="M23" s="114"/>
    </row>
    <row r="24" spans="2:13" x14ac:dyDescent="0.25">
      <c r="B24" s="25"/>
      <c r="C24" s="4">
        <v>3</v>
      </c>
      <c r="D24" s="235"/>
      <c r="E24" s="236"/>
      <c r="F24" s="185"/>
      <c r="G24" s="6" t="s">
        <v>317</v>
      </c>
      <c r="H24" s="103"/>
      <c r="I24" s="104"/>
      <c r="J24" s="237"/>
      <c r="K24" s="237"/>
      <c r="L24" s="105"/>
      <c r="M24" s="114"/>
    </row>
    <row r="25" spans="2:13" ht="42.75" x14ac:dyDescent="0.25">
      <c r="B25" s="25"/>
      <c r="C25" s="20" t="s">
        <v>99</v>
      </c>
      <c r="D25" s="42" t="s">
        <v>113</v>
      </c>
      <c r="E25" s="7" t="s">
        <v>74</v>
      </c>
      <c r="F25" s="7">
        <v>102697</v>
      </c>
      <c r="G25" s="13" t="s">
        <v>114</v>
      </c>
      <c r="H25" s="15" t="s">
        <v>22</v>
      </c>
      <c r="I25" s="97">
        <f>I41+I42+I43</f>
        <v>114</v>
      </c>
      <c r="J25" s="11">
        <v>10.31</v>
      </c>
      <c r="K25" s="36">
        <f t="shared" ref="K25:K30" si="0">ROUND(J25*1.2635,3)</f>
        <v>13.026999999999999</v>
      </c>
      <c r="L25" s="37">
        <f t="shared" ref="L25:L30" si="1">ROUND(I25*K25,3)</f>
        <v>1485.078</v>
      </c>
      <c r="M25" s="114"/>
    </row>
    <row r="26" spans="2:13" ht="42.75" x14ac:dyDescent="0.25">
      <c r="B26" s="25"/>
      <c r="C26" s="20" t="s">
        <v>100</v>
      </c>
      <c r="D26" s="42" t="s">
        <v>233</v>
      </c>
      <c r="E26" s="7" t="s">
        <v>74</v>
      </c>
      <c r="F26" s="7">
        <v>102698</v>
      </c>
      <c r="G26" s="13" t="s">
        <v>244</v>
      </c>
      <c r="H26" s="15" t="s">
        <v>22</v>
      </c>
      <c r="I26" s="15">
        <f>444.55+19.67</f>
        <v>464.22</v>
      </c>
      <c r="J26" s="11">
        <v>10.33</v>
      </c>
      <c r="K26" s="36">
        <f t="shared" si="0"/>
        <v>13.052</v>
      </c>
      <c r="L26" s="37">
        <f t="shared" si="1"/>
        <v>6058.9989999999998</v>
      </c>
      <c r="M26" s="114"/>
    </row>
    <row r="27" spans="2:13" ht="57" x14ac:dyDescent="0.25">
      <c r="B27" s="25"/>
      <c r="C27" s="20" t="s">
        <v>119</v>
      </c>
      <c r="D27" s="42" t="s">
        <v>259</v>
      </c>
      <c r="E27" s="7" t="s">
        <v>74</v>
      </c>
      <c r="F27" s="7">
        <v>93123</v>
      </c>
      <c r="G27" s="13" t="s">
        <v>258</v>
      </c>
      <c r="H27" s="15" t="s">
        <v>22</v>
      </c>
      <c r="I27" s="15">
        <f>I66+I71</f>
        <v>18</v>
      </c>
      <c r="J27" s="11">
        <v>20.66</v>
      </c>
      <c r="K27" s="36">
        <f t="shared" si="0"/>
        <v>26.103999999999999</v>
      </c>
      <c r="L27" s="37">
        <f t="shared" si="1"/>
        <v>469.87200000000001</v>
      </c>
      <c r="M27" s="114"/>
    </row>
    <row r="28" spans="2:13" ht="57" x14ac:dyDescent="0.25">
      <c r="B28" s="25"/>
      <c r="C28" s="20" t="s">
        <v>120</v>
      </c>
      <c r="D28" s="42" t="s">
        <v>234</v>
      </c>
      <c r="E28" s="7" t="s">
        <v>74</v>
      </c>
      <c r="F28" s="7">
        <v>77048</v>
      </c>
      <c r="G28" s="13" t="s">
        <v>245</v>
      </c>
      <c r="H28" s="15" t="s">
        <v>22</v>
      </c>
      <c r="I28" s="15">
        <f>(11.8+13.3-2*0.7)*1.55</f>
        <v>36.735000000000007</v>
      </c>
      <c r="J28" s="11">
        <v>24.1</v>
      </c>
      <c r="K28" s="36">
        <f t="shared" si="0"/>
        <v>30.45</v>
      </c>
      <c r="L28" s="37">
        <f t="shared" si="1"/>
        <v>1118.5809999999999</v>
      </c>
      <c r="M28" s="114"/>
    </row>
    <row r="29" spans="2:13" ht="90" customHeight="1" x14ac:dyDescent="0.25">
      <c r="B29" s="25"/>
      <c r="C29" s="20" t="s">
        <v>212</v>
      </c>
      <c r="D29" s="42" t="s">
        <v>235</v>
      </c>
      <c r="E29" s="7" t="s">
        <v>74</v>
      </c>
      <c r="F29" s="7">
        <v>77047</v>
      </c>
      <c r="G29" s="13" t="s">
        <v>582</v>
      </c>
      <c r="H29" s="15" t="s">
        <v>23</v>
      </c>
      <c r="I29" s="15">
        <f>1.18*2*4*0.18+(0.23+1.5)*2*0.18+(3*0.2*2.1)+0.9*2.1+(0.4*0.5+0.8*0.5+1.2*0.5)*2</f>
        <v>7.8720000000000008</v>
      </c>
      <c r="J29" s="11">
        <v>122.65</v>
      </c>
      <c r="K29" s="36">
        <f t="shared" si="0"/>
        <v>154.96799999999999</v>
      </c>
      <c r="L29" s="37">
        <f t="shared" si="1"/>
        <v>1219.9079999999999</v>
      </c>
      <c r="M29" s="114"/>
    </row>
    <row r="30" spans="2:13" ht="58.5" customHeight="1" x14ac:dyDescent="0.25">
      <c r="B30" s="25"/>
      <c r="C30" s="20" t="s">
        <v>213</v>
      </c>
      <c r="D30" s="42" t="s">
        <v>501</v>
      </c>
      <c r="E30" s="7" t="s">
        <v>74</v>
      </c>
      <c r="F30" s="7">
        <v>99127</v>
      </c>
      <c r="G30" s="13" t="s">
        <v>502</v>
      </c>
      <c r="H30" s="15" t="s">
        <v>22</v>
      </c>
      <c r="I30" s="15">
        <v>10</v>
      </c>
      <c r="J30" s="11">
        <v>11.57</v>
      </c>
      <c r="K30" s="36">
        <f t="shared" si="0"/>
        <v>14.619</v>
      </c>
      <c r="L30" s="37">
        <f t="shared" si="1"/>
        <v>146.19</v>
      </c>
      <c r="M30" s="114"/>
    </row>
    <row r="31" spans="2:13" ht="57" x14ac:dyDescent="0.25">
      <c r="B31" s="25"/>
      <c r="C31" s="20" t="s">
        <v>214</v>
      </c>
      <c r="D31" s="42" t="s">
        <v>392</v>
      </c>
      <c r="E31" s="7" t="s">
        <v>74</v>
      </c>
      <c r="F31" s="7">
        <v>99966</v>
      </c>
      <c r="G31" s="13" t="s">
        <v>395</v>
      </c>
      <c r="H31" s="15" t="s">
        <v>16</v>
      </c>
      <c r="I31" s="97">
        <v>3</v>
      </c>
      <c r="J31" s="11">
        <v>50.1</v>
      </c>
      <c r="K31" s="79">
        <f t="shared" ref="K31:K36" si="2">ROUND(J31*1.2635,3)</f>
        <v>63.301000000000002</v>
      </c>
      <c r="L31" s="99">
        <f t="shared" ref="L31:L36" si="3">ROUND(I31*K31,3)</f>
        <v>189.90299999999999</v>
      </c>
      <c r="M31" s="114"/>
    </row>
    <row r="32" spans="2:13" ht="28.5" x14ac:dyDescent="0.25">
      <c r="B32" s="25"/>
      <c r="C32" s="20" t="s">
        <v>215</v>
      </c>
      <c r="D32" s="42">
        <v>97663</v>
      </c>
      <c r="E32" s="7" t="s">
        <v>20</v>
      </c>
      <c r="F32" s="7">
        <v>77052</v>
      </c>
      <c r="G32" s="13" t="s">
        <v>393</v>
      </c>
      <c r="H32" s="15" t="s">
        <v>16</v>
      </c>
      <c r="I32" s="97">
        <v>4</v>
      </c>
      <c r="J32" s="11">
        <v>14.14</v>
      </c>
      <c r="K32" s="79">
        <f t="shared" si="2"/>
        <v>17.866</v>
      </c>
      <c r="L32" s="99">
        <f t="shared" si="3"/>
        <v>71.463999999999999</v>
      </c>
      <c r="M32" s="114"/>
    </row>
    <row r="33" spans="1:13" ht="28.5" x14ac:dyDescent="0.25">
      <c r="B33" s="25"/>
      <c r="C33" s="20" t="s">
        <v>404</v>
      </c>
      <c r="D33" s="42">
        <v>97666</v>
      </c>
      <c r="E33" s="7" t="s">
        <v>20</v>
      </c>
      <c r="F33" s="7">
        <v>77051</v>
      </c>
      <c r="G33" s="13" t="s">
        <v>394</v>
      </c>
      <c r="H33" s="15" t="s">
        <v>16</v>
      </c>
      <c r="I33" s="97">
        <v>10</v>
      </c>
      <c r="J33" s="11">
        <v>10.31</v>
      </c>
      <c r="K33" s="79">
        <f t="shared" si="2"/>
        <v>13.026999999999999</v>
      </c>
      <c r="L33" s="99">
        <f t="shared" si="3"/>
        <v>130.27000000000001</v>
      </c>
      <c r="M33" s="114"/>
    </row>
    <row r="34" spans="1:13" ht="28.5" x14ac:dyDescent="0.25">
      <c r="B34" s="25"/>
      <c r="C34" s="20" t="s">
        <v>405</v>
      </c>
      <c r="D34" s="42">
        <v>97665</v>
      </c>
      <c r="E34" s="7" t="s">
        <v>20</v>
      </c>
      <c r="F34" s="7">
        <v>77046</v>
      </c>
      <c r="G34" s="13" t="s">
        <v>401</v>
      </c>
      <c r="H34" s="15" t="s">
        <v>16</v>
      </c>
      <c r="I34" s="97">
        <v>23</v>
      </c>
      <c r="J34" s="11">
        <v>2.0099999999999998</v>
      </c>
      <c r="K34" s="79">
        <f t="shared" si="2"/>
        <v>2.54</v>
      </c>
      <c r="L34" s="99">
        <f t="shared" si="3"/>
        <v>58.42</v>
      </c>
      <c r="M34" s="114"/>
    </row>
    <row r="35" spans="1:13" ht="32.25" customHeight="1" x14ac:dyDescent="0.25">
      <c r="B35" s="25"/>
      <c r="C35" s="20" t="s">
        <v>406</v>
      </c>
      <c r="D35" s="7">
        <v>97644</v>
      </c>
      <c r="E35" s="7" t="s">
        <v>20</v>
      </c>
      <c r="F35" s="7">
        <v>77044</v>
      </c>
      <c r="G35" s="9" t="s">
        <v>400</v>
      </c>
      <c r="H35" s="7" t="s">
        <v>22</v>
      </c>
      <c r="I35" s="34">
        <f>0.7*2.1*6+0.6*0.6</f>
        <v>9.18</v>
      </c>
      <c r="J35" s="11">
        <v>10.69</v>
      </c>
      <c r="K35" s="79">
        <f>ROUND(J35*1.2635,3)</f>
        <v>13.507</v>
      </c>
      <c r="L35" s="38">
        <f>ROUND(K35*I35,3)</f>
        <v>123.994</v>
      </c>
      <c r="M35" s="114"/>
    </row>
    <row r="36" spans="1:13" ht="42.75" customHeight="1" x14ac:dyDescent="0.25">
      <c r="B36" s="25"/>
      <c r="C36" s="20" t="s">
        <v>407</v>
      </c>
      <c r="D36" s="42" t="s">
        <v>403</v>
      </c>
      <c r="E36" s="7" t="s">
        <v>74</v>
      </c>
      <c r="F36" s="7">
        <v>77292</v>
      </c>
      <c r="G36" s="13" t="s">
        <v>402</v>
      </c>
      <c r="H36" s="15" t="s">
        <v>23</v>
      </c>
      <c r="I36" s="18">
        <f>I37</f>
        <v>40.268999999999998</v>
      </c>
      <c r="J36" s="11">
        <v>27.9</v>
      </c>
      <c r="K36" s="79">
        <f t="shared" si="2"/>
        <v>35.252000000000002</v>
      </c>
      <c r="L36" s="99">
        <f t="shared" si="3"/>
        <v>1419.5630000000001</v>
      </c>
      <c r="M36" s="114"/>
    </row>
    <row r="37" spans="1:13" ht="21.75" customHeight="1" x14ac:dyDescent="0.25">
      <c r="B37" s="25"/>
      <c r="C37" s="20" t="s">
        <v>408</v>
      </c>
      <c r="D37" s="7" t="s">
        <v>73</v>
      </c>
      <c r="E37" s="15" t="s">
        <v>74</v>
      </c>
      <c r="F37" s="15">
        <v>67299</v>
      </c>
      <c r="G37" s="13" t="s">
        <v>117</v>
      </c>
      <c r="H37" s="85" t="s">
        <v>23</v>
      </c>
      <c r="I37" s="86">
        <f>ROUND((I25*0.08+I26*0.02+I27*0.08+I28*0.04+I29+I30*0.05+I31*0.3*0.2*0.2+I32*0.4*0.5*0.2+I33*0.1*0.08*0.05+I34*0.5*0.15*0.1+I35*0.1)*1.3,3)</f>
        <v>40.268999999999998</v>
      </c>
      <c r="J37" s="76">
        <v>3.35</v>
      </c>
      <c r="K37" s="36">
        <f>ROUND(J37*1.2635,3)</f>
        <v>4.2329999999999997</v>
      </c>
      <c r="L37" s="37">
        <f>ROUND(I37*K37,3)</f>
        <v>170.459</v>
      </c>
      <c r="M37" s="114"/>
    </row>
    <row r="38" spans="1:13" ht="57" x14ac:dyDescent="0.25">
      <c r="B38" s="25"/>
      <c r="C38" s="20" t="s">
        <v>518</v>
      </c>
      <c r="D38" s="7" t="s">
        <v>45</v>
      </c>
      <c r="E38" s="7" t="s">
        <v>74</v>
      </c>
      <c r="F38" s="7">
        <v>93125</v>
      </c>
      <c r="G38" s="87" t="s">
        <v>274</v>
      </c>
      <c r="H38" s="85" t="s">
        <v>118</v>
      </c>
      <c r="I38" s="85">
        <f>ROUND(I37*11.6,3)</f>
        <v>467.12</v>
      </c>
      <c r="J38" s="76">
        <v>1.76</v>
      </c>
      <c r="K38" s="36">
        <f>ROUND(J38*1.2635,3)</f>
        <v>2.2240000000000002</v>
      </c>
      <c r="L38" s="37">
        <f>ROUND(I38*K38,3)</f>
        <v>1038.875</v>
      </c>
      <c r="M38" s="114"/>
    </row>
    <row r="39" spans="1:13" ht="15" customHeight="1" x14ac:dyDescent="0.25">
      <c r="B39" s="25"/>
      <c r="C39" s="232" t="s">
        <v>41</v>
      </c>
      <c r="D39" s="233"/>
      <c r="E39" s="233"/>
      <c r="F39" s="233"/>
      <c r="G39" s="233"/>
      <c r="H39" s="233"/>
      <c r="I39" s="233"/>
      <c r="J39" s="233"/>
      <c r="K39" s="234"/>
      <c r="L39" s="54">
        <f>SUM(L25:L38)</f>
        <v>13701.576000000001</v>
      </c>
      <c r="M39" s="114"/>
    </row>
    <row r="40" spans="1:13" x14ac:dyDescent="0.25">
      <c r="B40" s="25"/>
      <c r="C40" s="4">
        <v>4</v>
      </c>
      <c r="D40" s="235"/>
      <c r="E40" s="236"/>
      <c r="F40" s="185"/>
      <c r="G40" s="6" t="s">
        <v>216</v>
      </c>
      <c r="H40" s="235"/>
      <c r="I40" s="237"/>
      <c r="J40" s="237"/>
      <c r="K40" s="237"/>
      <c r="L40" s="238"/>
      <c r="M40" s="114"/>
    </row>
    <row r="41" spans="1:13" ht="49.5" customHeight="1" x14ac:dyDescent="0.25">
      <c r="A41" s="25"/>
      <c r="B41" s="25"/>
      <c r="C41" s="20" t="s">
        <v>101</v>
      </c>
      <c r="D41" s="7">
        <v>94449</v>
      </c>
      <c r="E41" s="7" t="s">
        <v>20</v>
      </c>
      <c r="F41" s="7">
        <v>93817</v>
      </c>
      <c r="G41" s="87" t="s">
        <v>432</v>
      </c>
      <c r="H41" s="85" t="s">
        <v>22</v>
      </c>
      <c r="I41" s="85">
        <f>1.1*2.5*36</f>
        <v>99</v>
      </c>
      <c r="J41" s="76">
        <v>62.29</v>
      </c>
      <c r="K41" s="36">
        <f t="shared" ref="K41:K46" si="4">ROUND(J41*1.2635,3)</f>
        <v>78.703000000000003</v>
      </c>
      <c r="L41" s="37">
        <f t="shared" ref="L41:L46" si="5">ROUND(I41*K41,3)</f>
        <v>7791.5969999999998</v>
      </c>
      <c r="M41" s="114"/>
    </row>
    <row r="42" spans="1:13" ht="42.75" x14ac:dyDescent="0.25">
      <c r="A42" s="25"/>
      <c r="B42" s="25"/>
      <c r="C42" s="20" t="s">
        <v>246</v>
      </c>
      <c r="D42" s="42" t="s">
        <v>115</v>
      </c>
      <c r="E42" s="15" t="s">
        <v>74</v>
      </c>
      <c r="F42" s="15">
        <v>91944</v>
      </c>
      <c r="G42" s="13" t="s">
        <v>116</v>
      </c>
      <c r="H42" s="15" t="s">
        <v>22</v>
      </c>
      <c r="I42" s="97">
        <v>5</v>
      </c>
      <c r="J42" s="11">
        <v>95.33</v>
      </c>
      <c r="K42" s="36">
        <f t="shared" si="4"/>
        <v>120.449</v>
      </c>
      <c r="L42" s="37">
        <f t="shared" si="5"/>
        <v>602.245</v>
      </c>
      <c r="M42" s="114"/>
    </row>
    <row r="43" spans="1:13" ht="57" x14ac:dyDescent="0.25">
      <c r="A43" s="25"/>
      <c r="B43" s="25"/>
      <c r="C43" s="20" t="s">
        <v>123</v>
      </c>
      <c r="D43" s="42" t="s">
        <v>196</v>
      </c>
      <c r="E43" s="15" t="s">
        <v>74</v>
      </c>
      <c r="F43" s="15">
        <v>92367</v>
      </c>
      <c r="G43" s="13" t="s">
        <v>195</v>
      </c>
      <c r="H43" s="15" t="s">
        <v>22</v>
      </c>
      <c r="I43" s="97">
        <v>10</v>
      </c>
      <c r="J43" s="11">
        <v>49.12</v>
      </c>
      <c r="K43" s="79">
        <f t="shared" si="4"/>
        <v>62.063000000000002</v>
      </c>
      <c r="L43" s="37">
        <f t="shared" si="5"/>
        <v>620.63</v>
      </c>
      <c r="M43" s="114"/>
    </row>
    <row r="44" spans="1:13" ht="44.25" customHeight="1" x14ac:dyDescent="0.25">
      <c r="A44" s="25"/>
      <c r="B44" s="25"/>
      <c r="C44" s="20" t="s">
        <v>124</v>
      </c>
      <c r="D44" s="42" t="s">
        <v>459</v>
      </c>
      <c r="E44" s="15" t="s">
        <v>74</v>
      </c>
      <c r="F44" s="15">
        <v>93771</v>
      </c>
      <c r="G44" s="13" t="s">
        <v>460</v>
      </c>
      <c r="H44" s="15" t="s">
        <v>22</v>
      </c>
      <c r="I44" s="97">
        <f>2.5*96.92+0.5*96.92+23-I41</f>
        <v>214.76</v>
      </c>
      <c r="J44" s="11">
        <v>6.62</v>
      </c>
      <c r="K44" s="79">
        <f t="shared" si="4"/>
        <v>8.3640000000000008</v>
      </c>
      <c r="L44" s="37">
        <f t="shared" si="5"/>
        <v>1796.2529999999999</v>
      </c>
      <c r="M44" s="114"/>
    </row>
    <row r="45" spans="1:13" ht="42.75" x14ac:dyDescent="0.25">
      <c r="A45" s="25"/>
      <c r="B45" s="25"/>
      <c r="C45" s="20" t="s">
        <v>336</v>
      </c>
      <c r="D45" s="42" t="s">
        <v>209</v>
      </c>
      <c r="E45" s="15" t="s">
        <v>74</v>
      </c>
      <c r="F45" s="15">
        <v>91475</v>
      </c>
      <c r="G45" s="13" t="s">
        <v>255</v>
      </c>
      <c r="H45" s="15" t="s">
        <v>22</v>
      </c>
      <c r="I45" s="97">
        <f>8.37*2</f>
        <v>16.739999999999998</v>
      </c>
      <c r="J45" s="11">
        <v>60.84</v>
      </c>
      <c r="K45" s="79">
        <f t="shared" si="4"/>
        <v>76.870999999999995</v>
      </c>
      <c r="L45" s="37">
        <f t="shared" si="5"/>
        <v>1286.8209999999999</v>
      </c>
      <c r="M45" s="114"/>
    </row>
    <row r="46" spans="1:13" ht="28.5" x14ac:dyDescent="0.25">
      <c r="A46" s="25"/>
      <c r="B46" s="25"/>
      <c r="C46" s="20" t="s">
        <v>497</v>
      </c>
      <c r="D46" s="42" t="s">
        <v>211</v>
      </c>
      <c r="E46" s="15" t="s">
        <v>74</v>
      </c>
      <c r="F46" s="15">
        <v>97738</v>
      </c>
      <c r="G46" s="13" t="s">
        <v>210</v>
      </c>
      <c r="H46" s="15" t="s">
        <v>28</v>
      </c>
      <c r="I46" s="97">
        <f>11.58*2</f>
        <v>23.16</v>
      </c>
      <c r="J46" s="11">
        <v>16.89</v>
      </c>
      <c r="K46" s="79">
        <f t="shared" si="4"/>
        <v>21.341000000000001</v>
      </c>
      <c r="L46" s="37">
        <f t="shared" si="5"/>
        <v>494.25799999999998</v>
      </c>
      <c r="M46" s="114"/>
    </row>
    <row r="47" spans="1:13" ht="15" customHeight="1" x14ac:dyDescent="0.25">
      <c r="A47" s="25"/>
      <c r="B47" s="25"/>
      <c r="C47" s="232" t="s">
        <v>44</v>
      </c>
      <c r="D47" s="233"/>
      <c r="E47" s="233"/>
      <c r="F47" s="233"/>
      <c r="G47" s="233"/>
      <c r="H47" s="233"/>
      <c r="I47" s="233"/>
      <c r="J47" s="233"/>
      <c r="K47" s="234"/>
      <c r="L47" s="54">
        <f>SUM(L41:L46)</f>
        <v>12591.804</v>
      </c>
      <c r="M47" s="114"/>
    </row>
    <row r="48" spans="1:13" x14ac:dyDescent="0.25">
      <c r="A48" s="25"/>
      <c r="B48" s="25"/>
      <c r="C48" s="4">
        <v>5</v>
      </c>
      <c r="D48" s="198"/>
      <c r="E48" s="231"/>
      <c r="F48" s="179"/>
      <c r="G48" s="6" t="s">
        <v>232</v>
      </c>
      <c r="H48" s="198"/>
      <c r="I48" s="199"/>
      <c r="J48" s="199"/>
      <c r="K48" s="199"/>
      <c r="L48" s="200"/>
      <c r="M48" s="114"/>
    </row>
    <row r="49" spans="1:14" x14ac:dyDescent="0.25">
      <c r="A49" s="25"/>
      <c r="B49" s="25"/>
      <c r="C49" s="89" t="s">
        <v>46</v>
      </c>
      <c r="D49" s="191"/>
      <c r="E49" s="192"/>
      <c r="F49" s="183"/>
      <c r="G49" s="58" t="s">
        <v>247</v>
      </c>
      <c r="H49" s="98"/>
      <c r="I49" s="98"/>
      <c r="J49" s="98"/>
      <c r="K49" s="98"/>
      <c r="L49" s="73"/>
      <c r="M49" s="114"/>
    </row>
    <row r="50" spans="1:14" x14ac:dyDescent="0.25">
      <c r="A50" s="25"/>
      <c r="B50" s="25"/>
      <c r="C50" s="74" t="s">
        <v>337</v>
      </c>
      <c r="D50" s="189"/>
      <c r="E50" s="190"/>
      <c r="F50" s="184"/>
      <c r="G50" s="101" t="s">
        <v>590</v>
      </c>
      <c r="H50" s="15"/>
      <c r="I50" s="15"/>
      <c r="J50" s="11"/>
      <c r="K50" s="36"/>
      <c r="L50" s="37"/>
      <c r="M50" s="114"/>
    </row>
    <row r="51" spans="1:14" ht="30.75" customHeight="1" x14ac:dyDescent="0.25">
      <c r="A51" s="25"/>
      <c r="B51" s="25"/>
      <c r="C51" s="74" t="s">
        <v>338</v>
      </c>
      <c r="D51" s="42">
        <v>102488</v>
      </c>
      <c r="E51" s="42" t="s">
        <v>20</v>
      </c>
      <c r="F51" s="42">
        <v>94136</v>
      </c>
      <c r="G51" s="13" t="s">
        <v>561</v>
      </c>
      <c r="H51" s="15" t="s">
        <v>22</v>
      </c>
      <c r="I51" s="15">
        <v>444.55</v>
      </c>
      <c r="J51" s="11">
        <v>4.08</v>
      </c>
      <c r="K51" s="36">
        <v>5.1550000000000002</v>
      </c>
      <c r="L51" s="37">
        <f>I51*K51</f>
        <v>2291.6552500000003</v>
      </c>
      <c r="M51" s="114"/>
    </row>
    <row r="52" spans="1:14" ht="60.75" customHeight="1" x14ac:dyDescent="0.25">
      <c r="A52" s="25"/>
      <c r="B52" s="25"/>
      <c r="C52" s="74" t="s">
        <v>339</v>
      </c>
      <c r="D52" s="42" t="s">
        <v>121</v>
      </c>
      <c r="E52" s="7" t="s">
        <v>74</v>
      </c>
      <c r="F52" s="7">
        <v>102699</v>
      </c>
      <c r="G52" s="13" t="s">
        <v>563</v>
      </c>
      <c r="H52" s="15" t="s">
        <v>22</v>
      </c>
      <c r="I52" s="15">
        <v>444.55</v>
      </c>
      <c r="J52" s="11">
        <v>132.08000000000001</v>
      </c>
      <c r="K52" s="36">
        <f t="shared" ref="K52:K78" si="6">ROUND(J52*1.2635,3)</f>
        <v>166.88300000000001</v>
      </c>
      <c r="L52" s="37">
        <f t="shared" ref="L52:L78" si="7">ROUND(I52*K52,3)</f>
        <v>74187.838000000003</v>
      </c>
      <c r="M52" s="114"/>
      <c r="N52" s="143"/>
    </row>
    <row r="53" spans="1:14" ht="49.5" customHeight="1" x14ac:dyDescent="0.25">
      <c r="A53" s="25"/>
      <c r="B53" s="25"/>
      <c r="C53" s="74" t="s">
        <v>340</v>
      </c>
      <c r="D53" s="42">
        <v>44073</v>
      </c>
      <c r="E53" s="7" t="s">
        <v>20</v>
      </c>
      <c r="F53" s="7">
        <v>102700</v>
      </c>
      <c r="G53" s="13" t="s">
        <v>603</v>
      </c>
      <c r="H53" s="15" t="s">
        <v>28</v>
      </c>
      <c r="I53" s="15">
        <v>153</v>
      </c>
      <c r="J53" s="11">
        <v>0.99</v>
      </c>
      <c r="K53" s="36">
        <f t="shared" si="6"/>
        <v>1.2509999999999999</v>
      </c>
      <c r="L53" s="37">
        <f t="shared" si="7"/>
        <v>191.40299999999999</v>
      </c>
      <c r="M53" s="142"/>
      <c r="N53" s="143"/>
    </row>
    <row r="54" spans="1:14" ht="33.75" customHeight="1" x14ac:dyDescent="0.25">
      <c r="A54" s="25"/>
      <c r="B54" s="25"/>
      <c r="C54" s="74" t="s">
        <v>564</v>
      </c>
      <c r="D54" s="42">
        <v>142</v>
      </c>
      <c r="E54" s="7" t="s">
        <v>20</v>
      </c>
      <c r="F54" s="7">
        <v>99425</v>
      </c>
      <c r="G54" s="13" t="s">
        <v>604</v>
      </c>
      <c r="H54" s="15" t="s">
        <v>602</v>
      </c>
      <c r="I54" s="15">
        <v>16</v>
      </c>
      <c r="J54" s="11">
        <v>30.88</v>
      </c>
      <c r="K54" s="36">
        <f t="shared" si="6"/>
        <v>39.017000000000003</v>
      </c>
      <c r="L54" s="37">
        <f t="shared" si="7"/>
        <v>624.27200000000005</v>
      </c>
      <c r="M54" s="142"/>
      <c r="N54" s="143"/>
    </row>
    <row r="55" spans="1:14" ht="33.75" customHeight="1" x14ac:dyDescent="0.25">
      <c r="A55" s="25"/>
      <c r="B55" s="25"/>
      <c r="C55" s="74" t="s">
        <v>565</v>
      </c>
      <c r="D55" s="42">
        <v>88309</v>
      </c>
      <c r="E55" s="7" t="s">
        <v>20</v>
      </c>
      <c r="F55" s="7">
        <v>102701</v>
      </c>
      <c r="G55" s="13" t="s">
        <v>605</v>
      </c>
      <c r="H55" s="15" t="s">
        <v>26</v>
      </c>
      <c r="I55" s="15">
        <f>ROUND(1.1655*255,3)</f>
        <v>297.20299999999997</v>
      </c>
      <c r="J55" s="11">
        <v>31.67</v>
      </c>
      <c r="K55" s="36">
        <f t="shared" si="6"/>
        <v>40.015000000000001</v>
      </c>
      <c r="L55" s="37">
        <f t="shared" si="7"/>
        <v>11892.578</v>
      </c>
      <c r="M55" s="142"/>
      <c r="N55" s="143"/>
    </row>
    <row r="56" spans="1:14" ht="36" customHeight="1" x14ac:dyDescent="0.25">
      <c r="A56" s="25"/>
      <c r="B56" s="25"/>
      <c r="C56" s="74" t="s">
        <v>601</v>
      </c>
      <c r="D56" s="42">
        <v>88316</v>
      </c>
      <c r="E56" s="7" t="s">
        <v>20</v>
      </c>
      <c r="F56" s="7">
        <v>77230</v>
      </c>
      <c r="G56" s="13" t="s">
        <v>606</v>
      </c>
      <c r="H56" s="15" t="s">
        <v>26</v>
      </c>
      <c r="I56" s="15">
        <f>ROUND(0.2359*255,3)</f>
        <v>60.155000000000001</v>
      </c>
      <c r="J56" s="11">
        <v>23.58</v>
      </c>
      <c r="K56" s="36">
        <f t="shared" si="6"/>
        <v>29.792999999999999</v>
      </c>
      <c r="L56" s="37">
        <f t="shared" si="7"/>
        <v>1792.1980000000001</v>
      </c>
      <c r="M56" s="142"/>
      <c r="N56" s="143"/>
    </row>
    <row r="57" spans="1:14" x14ac:dyDescent="0.25">
      <c r="A57" s="25"/>
      <c r="B57" s="25"/>
      <c r="C57" s="74" t="s">
        <v>607</v>
      </c>
      <c r="D57" s="42" t="s">
        <v>560</v>
      </c>
      <c r="E57" s="7" t="s">
        <v>74</v>
      </c>
      <c r="F57" s="7">
        <v>102702</v>
      </c>
      <c r="G57" s="13" t="s">
        <v>559</v>
      </c>
      <c r="H57" s="15" t="s">
        <v>22</v>
      </c>
      <c r="I57" s="15">
        <v>444.55</v>
      </c>
      <c r="J57" s="11">
        <v>4.25</v>
      </c>
      <c r="K57" s="36">
        <f t="shared" si="6"/>
        <v>5.37</v>
      </c>
      <c r="L57" s="37">
        <f t="shared" si="7"/>
        <v>2387.2339999999999</v>
      </c>
      <c r="M57" s="114"/>
      <c r="N57" s="143"/>
    </row>
    <row r="58" spans="1:14" ht="42.75" x14ac:dyDescent="0.25">
      <c r="A58" s="25"/>
      <c r="B58" s="25"/>
      <c r="C58" s="74" t="s">
        <v>608</v>
      </c>
      <c r="D58" s="42" t="s">
        <v>122</v>
      </c>
      <c r="E58" s="7" t="s">
        <v>74</v>
      </c>
      <c r="F58" s="7">
        <v>91927</v>
      </c>
      <c r="G58" s="13" t="s">
        <v>562</v>
      </c>
      <c r="H58" s="15" t="s">
        <v>22</v>
      </c>
      <c r="I58" s="15">
        <v>444.55</v>
      </c>
      <c r="J58" s="11">
        <v>57.47</v>
      </c>
      <c r="K58" s="36">
        <f t="shared" si="6"/>
        <v>72.613</v>
      </c>
      <c r="L58" s="37">
        <f t="shared" si="7"/>
        <v>32280.109</v>
      </c>
      <c r="M58" s="114"/>
      <c r="N58" s="143"/>
    </row>
    <row r="59" spans="1:14" ht="28.5" x14ac:dyDescent="0.25">
      <c r="A59" s="25"/>
      <c r="B59" s="25"/>
      <c r="C59" s="74" t="s">
        <v>609</v>
      </c>
      <c r="D59" s="42" t="s">
        <v>505</v>
      </c>
      <c r="E59" s="7" t="s">
        <v>74</v>
      </c>
      <c r="F59" s="7">
        <v>102703</v>
      </c>
      <c r="G59" s="13" t="s">
        <v>510</v>
      </c>
      <c r="H59" s="15" t="s">
        <v>28</v>
      </c>
      <c r="I59" s="15">
        <v>330</v>
      </c>
      <c r="J59" s="11">
        <v>17.48</v>
      </c>
      <c r="K59" s="36">
        <f t="shared" si="6"/>
        <v>22.085999999999999</v>
      </c>
      <c r="L59" s="37">
        <f t="shared" si="7"/>
        <v>7288.38</v>
      </c>
      <c r="M59" s="114"/>
      <c r="N59" s="143"/>
    </row>
    <row r="60" spans="1:14" ht="20.25" customHeight="1" x14ac:dyDescent="0.25">
      <c r="A60" s="25"/>
      <c r="B60" s="25"/>
      <c r="C60" s="74" t="s">
        <v>341</v>
      </c>
      <c r="D60" s="189"/>
      <c r="E60" s="190"/>
      <c r="F60" s="184"/>
      <c r="G60" s="101" t="s">
        <v>248</v>
      </c>
      <c r="H60" s="15"/>
      <c r="I60" s="15"/>
      <c r="J60" s="11"/>
      <c r="K60" s="79"/>
      <c r="L60" s="99"/>
      <c r="M60" s="114"/>
      <c r="N60" s="143"/>
    </row>
    <row r="61" spans="1:14" ht="43.5" customHeight="1" x14ac:dyDescent="0.25">
      <c r="A61" s="25"/>
      <c r="B61" s="25"/>
      <c r="C61" s="74" t="s">
        <v>89</v>
      </c>
      <c r="D61" s="42" t="s">
        <v>252</v>
      </c>
      <c r="E61" s="7" t="s">
        <v>74</v>
      </c>
      <c r="F61" s="7">
        <v>77085</v>
      </c>
      <c r="G61" s="13" t="s">
        <v>251</v>
      </c>
      <c r="H61" s="15" t="s">
        <v>22</v>
      </c>
      <c r="I61" s="15">
        <v>36.47</v>
      </c>
      <c r="J61" s="11">
        <v>37.369999999999997</v>
      </c>
      <c r="K61" s="79">
        <f t="shared" si="6"/>
        <v>47.216999999999999</v>
      </c>
      <c r="L61" s="99">
        <f t="shared" si="7"/>
        <v>1722.0039999999999</v>
      </c>
      <c r="M61" s="114"/>
      <c r="N61" s="143"/>
    </row>
    <row r="62" spans="1:14" ht="57.75" customHeight="1" x14ac:dyDescent="0.25">
      <c r="A62" s="25"/>
      <c r="B62" s="25"/>
      <c r="C62" s="74" t="s">
        <v>90</v>
      </c>
      <c r="D62" s="42" t="s">
        <v>249</v>
      </c>
      <c r="E62" s="7" t="s">
        <v>74</v>
      </c>
      <c r="F62" s="7">
        <v>93876</v>
      </c>
      <c r="G62" s="13" t="s">
        <v>250</v>
      </c>
      <c r="H62" s="15" t="s">
        <v>22</v>
      </c>
      <c r="I62" s="15">
        <v>40.119999999999997</v>
      </c>
      <c r="J62" s="11">
        <v>105.18</v>
      </c>
      <c r="K62" s="79">
        <f t="shared" si="6"/>
        <v>132.89500000000001</v>
      </c>
      <c r="L62" s="99">
        <f t="shared" si="7"/>
        <v>5331.7470000000003</v>
      </c>
      <c r="M62" s="114"/>
      <c r="N62" s="143"/>
    </row>
    <row r="63" spans="1:14" ht="43.5" customHeight="1" x14ac:dyDescent="0.25">
      <c r="A63" s="25"/>
      <c r="B63" s="25"/>
      <c r="C63" s="74" t="s">
        <v>91</v>
      </c>
      <c r="D63" s="42" t="s">
        <v>254</v>
      </c>
      <c r="E63" s="7" t="s">
        <v>74</v>
      </c>
      <c r="F63" s="7">
        <v>102704</v>
      </c>
      <c r="G63" s="13" t="s">
        <v>253</v>
      </c>
      <c r="H63" s="15" t="s">
        <v>22</v>
      </c>
      <c r="I63" s="15">
        <f>0.18*(0.9*4)</f>
        <v>0.64800000000000002</v>
      </c>
      <c r="J63" s="11">
        <v>384.22</v>
      </c>
      <c r="K63" s="79">
        <f t="shared" si="6"/>
        <v>485.46199999999999</v>
      </c>
      <c r="L63" s="99">
        <f t="shared" si="7"/>
        <v>314.57900000000001</v>
      </c>
      <c r="M63" s="114"/>
      <c r="N63" s="143"/>
    </row>
    <row r="64" spans="1:14" ht="19.5" customHeight="1" x14ac:dyDescent="0.25">
      <c r="A64" s="25"/>
      <c r="B64" s="25"/>
      <c r="C64" s="74" t="s">
        <v>342</v>
      </c>
      <c r="D64" s="189"/>
      <c r="E64" s="190"/>
      <c r="F64" s="184"/>
      <c r="G64" s="101" t="s">
        <v>257</v>
      </c>
      <c r="H64" s="15"/>
      <c r="I64" s="15"/>
      <c r="J64" s="11"/>
      <c r="K64" s="79"/>
      <c r="L64" s="99"/>
      <c r="M64" s="114"/>
    </row>
    <row r="65" spans="1:13" ht="30.75" customHeight="1" x14ac:dyDescent="0.25">
      <c r="A65" s="25"/>
      <c r="B65" s="25"/>
      <c r="C65" s="74" t="s">
        <v>343</v>
      </c>
      <c r="D65" s="42">
        <v>99814</v>
      </c>
      <c r="E65" s="7" t="s">
        <v>20</v>
      </c>
      <c r="F65" s="7">
        <v>102705</v>
      </c>
      <c r="G65" s="13" t="s">
        <v>511</v>
      </c>
      <c r="H65" s="15" t="s">
        <v>22</v>
      </c>
      <c r="I65" s="15">
        <v>64</v>
      </c>
      <c r="J65" s="11">
        <v>1.67</v>
      </c>
      <c r="K65" s="79">
        <f t="shared" si="6"/>
        <v>2.11</v>
      </c>
      <c r="L65" s="99">
        <f t="shared" si="7"/>
        <v>135.04</v>
      </c>
      <c r="M65" s="114"/>
    </row>
    <row r="66" spans="1:13" ht="42.75" customHeight="1" x14ac:dyDescent="0.25">
      <c r="A66" s="25"/>
      <c r="B66" s="25"/>
      <c r="C66" s="74" t="s">
        <v>344</v>
      </c>
      <c r="D66" s="42" t="s">
        <v>260</v>
      </c>
      <c r="E66" s="7" t="s">
        <v>74</v>
      </c>
      <c r="F66" s="7">
        <v>101397</v>
      </c>
      <c r="G66" s="13" t="s">
        <v>512</v>
      </c>
      <c r="H66" s="15" t="s">
        <v>22</v>
      </c>
      <c r="I66" s="15">
        <v>15</v>
      </c>
      <c r="J66" s="11">
        <v>66.14</v>
      </c>
      <c r="K66" s="79">
        <f t="shared" si="6"/>
        <v>83.567999999999998</v>
      </c>
      <c r="L66" s="99">
        <f t="shared" si="7"/>
        <v>1253.52</v>
      </c>
      <c r="M66" s="114"/>
    </row>
    <row r="67" spans="1:13" ht="35.25" customHeight="1" x14ac:dyDescent="0.25">
      <c r="A67" s="25"/>
      <c r="B67" s="25"/>
      <c r="C67" s="74" t="s">
        <v>508</v>
      </c>
      <c r="D67" s="42" t="s">
        <v>504</v>
      </c>
      <c r="E67" s="7" t="s">
        <v>74</v>
      </c>
      <c r="F67" s="7">
        <v>91627</v>
      </c>
      <c r="G67" s="13" t="s">
        <v>503</v>
      </c>
      <c r="H67" s="15" t="s">
        <v>16</v>
      </c>
      <c r="I67" s="15">
        <v>1</v>
      </c>
      <c r="J67" s="11">
        <v>483.97</v>
      </c>
      <c r="K67" s="79">
        <f t="shared" si="6"/>
        <v>611.49599999999998</v>
      </c>
      <c r="L67" s="99">
        <f t="shared" si="7"/>
        <v>611.49599999999998</v>
      </c>
      <c r="M67" s="114"/>
    </row>
    <row r="68" spans="1:13" ht="57.75" customHeight="1" x14ac:dyDescent="0.25">
      <c r="A68" s="25"/>
      <c r="B68" s="25"/>
      <c r="C68" s="74" t="s">
        <v>509</v>
      </c>
      <c r="D68" s="42" t="s">
        <v>110</v>
      </c>
      <c r="E68" s="7" t="s">
        <v>74</v>
      </c>
      <c r="F68" s="7">
        <v>77150</v>
      </c>
      <c r="G68" s="13" t="s">
        <v>507</v>
      </c>
      <c r="H68" s="15" t="s">
        <v>22</v>
      </c>
      <c r="I68" s="15">
        <v>1.2</v>
      </c>
      <c r="J68" s="11">
        <v>13.62</v>
      </c>
      <c r="K68" s="79">
        <f t="shared" si="6"/>
        <v>17.209</v>
      </c>
      <c r="L68" s="99">
        <f t="shared" si="7"/>
        <v>20.651</v>
      </c>
      <c r="M68" s="114"/>
    </row>
    <row r="69" spans="1:13" ht="20.25" customHeight="1" x14ac:dyDescent="0.25">
      <c r="A69" s="25"/>
      <c r="B69" s="25"/>
      <c r="C69" s="74" t="s">
        <v>417</v>
      </c>
      <c r="D69" s="42"/>
      <c r="E69" s="7"/>
      <c r="F69" s="7"/>
      <c r="G69" s="101" t="s">
        <v>412</v>
      </c>
      <c r="H69" s="15"/>
      <c r="I69" s="100"/>
      <c r="J69" s="11"/>
      <c r="K69" s="79"/>
      <c r="L69" s="99"/>
      <c r="M69" s="114"/>
    </row>
    <row r="70" spans="1:13" ht="41.25" customHeight="1" x14ac:dyDescent="0.25">
      <c r="A70" s="25"/>
      <c r="B70" s="25"/>
      <c r="C70" s="74" t="s">
        <v>498</v>
      </c>
      <c r="D70" s="42" t="s">
        <v>414</v>
      </c>
      <c r="E70" s="7" t="s">
        <v>74</v>
      </c>
      <c r="F70" s="7">
        <v>77058</v>
      </c>
      <c r="G70" s="13" t="s">
        <v>413</v>
      </c>
      <c r="H70" s="15" t="s">
        <v>23</v>
      </c>
      <c r="I70" s="15">
        <v>0.5</v>
      </c>
      <c r="J70" s="11">
        <v>47.14</v>
      </c>
      <c r="K70" s="79">
        <f t="shared" si="6"/>
        <v>59.561</v>
      </c>
      <c r="L70" s="99">
        <f t="shared" si="7"/>
        <v>29.780999999999999</v>
      </c>
      <c r="M70" s="114"/>
    </row>
    <row r="71" spans="1:13" ht="40.5" customHeight="1" x14ac:dyDescent="0.25">
      <c r="A71" s="25"/>
      <c r="B71" s="25"/>
      <c r="C71" s="74" t="s">
        <v>499</v>
      </c>
      <c r="D71" s="42" t="s">
        <v>416</v>
      </c>
      <c r="E71" s="7" t="s">
        <v>74</v>
      </c>
      <c r="F71" s="7">
        <v>92905</v>
      </c>
      <c r="G71" s="13" t="s">
        <v>415</v>
      </c>
      <c r="H71" s="15" t="s">
        <v>22</v>
      </c>
      <c r="I71" s="15">
        <f>1.2*2.5</f>
        <v>3</v>
      </c>
      <c r="J71" s="11">
        <v>11.55</v>
      </c>
      <c r="K71" s="79">
        <f t="shared" si="6"/>
        <v>14.593</v>
      </c>
      <c r="L71" s="99">
        <f t="shared" si="7"/>
        <v>43.779000000000003</v>
      </c>
      <c r="M71" s="114"/>
    </row>
    <row r="72" spans="1:13" ht="50.25" customHeight="1" x14ac:dyDescent="0.25">
      <c r="A72" s="25"/>
      <c r="B72" s="25"/>
      <c r="C72" s="74" t="s">
        <v>500</v>
      </c>
      <c r="D72" s="42">
        <v>105000</v>
      </c>
      <c r="E72" s="7" t="s">
        <v>20</v>
      </c>
      <c r="F72" s="7">
        <v>98049</v>
      </c>
      <c r="G72" s="13" t="s">
        <v>506</v>
      </c>
      <c r="H72" s="15" t="s">
        <v>28</v>
      </c>
      <c r="I72" s="15">
        <v>2.5</v>
      </c>
      <c r="J72" s="11">
        <v>1382.72</v>
      </c>
      <c r="K72" s="79">
        <f t="shared" si="6"/>
        <v>1747.067</v>
      </c>
      <c r="L72" s="99">
        <f t="shared" si="7"/>
        <v>4367.6679999999997</v>
      </c>
      <c r="M72" s="114"/>
    </row>
    <row r="73" spans="1:13" ht="18.75" customHeight="1" x14ac:dyDescent="0.25">
      <c r="A73" s="25"/>
      <c r="B73" s="25"/>
      <c r="C73" s="89" t="s">
        <v>75</v>
      </c>
      <c r="D73" s="191"/>
      <c r="E73" s="192"/>
      <c r="F73" s="183"/>
      <c r="G73" s="58" t="s">
        <v>261</v>
      </c>
      <c r="H73" s="98"/>
      <c r="I73" s="98"/>
      <c r="J73" s="98"/>
      <c r="K73" s="107"/>
      <c r="L73" s="73"/>
      <c r="M73" s="114"/>
    </row>
    <row r="74" spans="1:13" ht="44.25" customHeight="1" x14ac:dyDescent="0.25">
      <c r="A74" s="25"/>
      <c r="B74" s="25"/>
      <c r="C74" s="74" t="s">
        <v>530</v>
      </c>
      <c r="D74" s="42" t="s">
        <v>515</v>
      </c>
      <c r="E74" s="42" t="s">
        <v>74</v>
      </c>
      <c r="F74" s="42">
        <v>77067</v>
      </c>
      <c r="G74" s="13" t="s">
        <v>516</v>
      </c>
      <c r="H74" s="42" t="s">
        <v>22</v>
      </c>
      <c r="I74" s="42">
        <f>0.9*2.1</f>
        <v>1.8900000000000001</v>
      </c>
      <c r="J74" s="11">
        <v>60.25</v>
      </c>
      <c r="K74" s="79">
        <f t="shared" si="6"/>
        <v>76.126000000000005</v>
      </c>
      <c r="L74" s="99">
        <f t="shared" ref="L74:L76" si="8">I74*K74</f>
        <v>143.87814000000003</v>
      </c>
      <c r="M74" s="114"/>
    </row>
    <row r="75" spans="1:13" ht="58.5" customHeight="1" x14ac:dyDescent="0.25">
      <c r="A75" s="25"/>
      <c r="B75" s="25"/>
      <c r="C75" s="74" t="s">
        <v>531</v>
      </c>
      <c r="D75" s="42" t="s">
        <v>517</v>
      </c>
      <c r="E75" s="42" t="s">
        <v>74</v>
      </c>
      <c r="F75" s="42">
        <v>91634</v>
      </c>
      <c r="G75" s="13" t="s">
        <v>615</v>
      </c>
      <c r="H75" s="42" t="s">
        <v>22</v>
      </c>
      <c r="I75" s="42">
        <f>I74*2+(0.4*0.5+0.8*0.5+1.2*0.5)*2+2*2</f>
        <v>10.18</v>
      </c>
      <c r="J75" s="11">
        <v>10.39</v>
      </c>
      <c r="K75" s="79">
        <f t="shared" si="6"/>
        <v>13.128</v>
      </c>
      <c r="L75" s="99">
        <f t="shared" si="8"/>
        <v>133.64303999999998</v>
      </c>
      <c r="M75" s="114"/>
    </row>
    <row r="76" spans="1:13" ht="61.5" customHeight="1" x14ac:dyDescent="0.25">
      <c r="A76" s="25"/>
      <c r="B76" s="25"/>
      <c r="C76" s="74" t="s">
        <v>532</v>
      </c>
      <c r="D76" s="42" t="s">
        <v>514</v>
      </c>
      <c r="E76" s="42" t="s">
        <v>74</v>
      </c>
      <c r="F76" s="42">
        <v>77070</v>
      </c>
      <c r="G76" s="13" t="s">
        <v>616</v>
      </c>
      <c r="H76" s="42" t="s">
        <v>22</v>
      </c>
      <c r="I76" s="42">
        <f>I30+I75</f>
        <v>20.18</v>
      </c>
      <c r="J76" s="11">
        <v>36.159999999999997</v>
      </c>
      <c r="K76" s="79">
        <f t="shared" si="6"/>
        <v>45.688000000000002</v>
      </c>
      <c r="L76" s="99">
        <f t="shared" si="8"/>
        <v>921.98383999999999</v>
      </c>
      <c r="M76" s="114"/>
    </row>
    <row r="77" spans="1:13" ht="45.75" customHeight="1" x14ac:dyDescent="0.25">
      <c r="A77" s="25"/>
      <c r="B77" s="25"/>
      <c r="C77" s="74" t="s">
        <v>533</v>
      </c>
      <c r="D77" s="42" t="s">
        <v>264</v>
      </c>
      <c r="E77" s="7" t="s">
        <v>74</v>
      </c>
      <c r="F77" s="7">
        <v>77069</v>
      </c>
      <c r="G77" s="13" t="s">
        <v>600</v>
      </c>
      <c r="H77" s="15" t="s">
        <v>22</v>
      </c>
      <c r="I77" s="15">
        <f>I78/2</f>
        <v>32.629999999999995</v>
      </c>
      <c r="J77" s="11">
        <v>38.380000000000003</v>
      </c>
      <c r="K77" s="79">
        <f t="shared" si="6"/>
        <v>48.493000000000002</v>
      </c>
      <c r="L77" s="99">
        <f t="shared" si="7"/>
        <v>1582.327</v>
      </c>
      <c r="M77" s="114"/>
    </row>
    <row r="78" spans="1:13" ht="63" customHeight="1" x14ac:dyDescent="0.25">
      <c r="A78" s="25"/>
      <c r="B78" s="25"/>
      <c r="C78" s="74" t="s">
        <v>534</v>
      </c>
      <c r="D78" s="42" t="s">
        <v>263</v>
      </c>
      <c r="E78" s="7" t="s">
        <v>74</v>
      </c>
      <c r="F78" s="7">
        <v>77089</v>
      </c>
      <c r="G78" s="13" t="s">
        <v>262</v>
      </c>
      <c r="H78" s="15" t="s">
        <v>22</v>
      </c>
      <c r="I78" s="15">
        <f>30.68+34.58</f>
        <v>65.259999999999991</v>
      </c>
      <c r="J78" s="11">
        <v>79.94</v>
      </c>
      <c r="K78" s="79">
        <f t="shared" si="6"/>
        <v>101.004</v>
      </c>
      <c r="L78" s="99">
        <f t="shared" si="7"/>
        <v>6591.5209999999997</v>
      </c>
      <c r="M78" s="114"/>
    </row>
    <row r="79" spans="1:13" ht="15" customHeight="1" x14ac:dyDescent="0.25">
      <c r="A79" s="25"/>
      <c r="B79" s="25"/>
      <c r="C79" s="232" t="s">
        <v>84</v>
      </c>
      <c r="D79" s="233"/>
      <c r="E79" s="233"/>
      <c r="F79" s="233"/>
      <c r="G79" s="233"/>
      <c r="H79" s="233"/>
      <c r="I79" s="233"/>
      <c r="J79" s="233"/>
      <c r="K79" s="234"/>
      <c r="L79" s="54">
        <f>SUM(L49:L78)</f>
        <v>156139.28526999999</v>
      </c>
      <c r="M79" s="114"/>
    </row>
    <row r="80" spans="1:13" x14ac:dyDescent="0.25">
      <c r="A80" s="25"/>
      <c r="B80" s="25"/>
      <c r="C80" s="4">
        <v>6</v>
      </c>
      <c r="D80" s="198"/>
      <c r="E80" s="231"/>
      <c r="F80" s="179"/>
      <c r="G80" s="6" t="s">
        <v>29</v>
      </c>
      <c r="H80" s="198"/>
      <c r="I80" s="199"/>
      <c r="J80" s="199"/>
      <c r="K80" s="199"/>
      <c r="L80" s="200"/>
      <c r="M80" s="114"/>
    </row>
    <row r="81" spans="1:13" ht="21.75" customHeight="1" x14ac:dyDescent="0.25">
      <c r="A81" s="25"/>
      <c r="B81" s="25"/>
      <c r="C81" s="89" t="s">
        <v>49</v>
      </c>
      <c r="D81" s="191"/>
      <c r="E81" s="192"/>
      <c r="F81" s="183"/>
      <c r="G81" s="58" t="s">
        <v>466</v>
      </c>
      <c r="H81" s="106"/>
      <c r="I81" s="106"/>
      <c r="J81" s="106"/>
      <c r="K81" s="106"/>
      <c r="L81" s="73"/>
      <c r="M81" s="114"/>
    </row>
    <row r="82" spans="1:13" ht="48" customHeight="1" x14ac:dyDescent="0.25">
      <c r="A82" s="25"/>
      <c r="B82" s="25"/>
      <c r="C82" s="45" t="s">
        <v>469</v>
      </c>
      <c r="D82" s="15" t="s">
        <v>125</v>
      </c>
      <c r="E82" s="43" t="s">
        <v>74</v>
      </c>
      <c r="F82" s="43">
        <v>93882</v>
      </c>
      <c r="G82" s="13" t="s">
        <v>126</v>
      </c>
      <c r="H82" s="17" t="s">
        <v>16</v>
      </c>
      <c r="I82" s="17">
        <v>3</v>
      </c>
      <c r="J82" s="11">
        <v>33.71</v>
      </c>
      <c r="K82" s="36">
        <f t="shared" ref="K82:K96" si="9">ROUND(J82*1.2635,3)</f>
        <v>42.593000000000004</v>
      </c>
      <c r="L82" s="44">
        <f t="shared" ref="L82:L96" si="10">I82*K82</f>
        <v>127.77900000000001</v>
      </c>
      <c r="M82" s="114"/>
    </row>
    <row r="83" spans="1:13" ht="48" customHeight="1" x14ac:dyDescent="0.25">
      <c r="A83" s="25"/>
      <c r="B83" s="25"/>
      <c r="C83" s="45" t="s">
        <v>470</v>
      </c>
      <c r="D83" s="15" t="s">
        <v>127</v>
      </c>
      <c r="E83" s="43" t="s">
        <v>74</v>
      </c>
      <c r="F83" s="43">
        <v>77098</v>
      </c>
      <c r="G83" s="13" t="s">
        <v>128</v>
      </c>
      <c r="H83" s="17" t="s">
        <v>16</v>
      </c>
      <c r="I83" s="17">
        <v>5</v>
      </c>
      <c r="J83" s="11">
        <v>37.57</v>
      </c>
      <c r="K83" s="36">
        <f t="shared" si="9"/>
        <v>47.47</v>
      </c>
      <c r="L83" s="44">
        <f t="shared" si="10"/>
        <v>237.35</v>
      </c>
      <c r="M83" s="114"/>
    </row>
    <row r="84" spans="1:13" ht="48" customHeight="1" x14ac:dyDescent="0.25">
      <c r="A84" s="25"/>
      <c r="B84" s="25"/>
      <c r="C84" s="45" t="s">
        <v>471</v>
      </c>
      <c r="D84" s="15" t="s">
        <v>463</v>
      </c>
      <c r="E84" s="43" t="s">
        <v>74</v>
      </c>
      <c r="F84" s="43">
        <v>102706</v>
      </c>
      <c r="G84" s="13" t="s">
        <v>462</v>
      </c>
      <c r="H84" s="17" t="s">
        <v>16</v>
      </c>
      <c r="I84" s="17">
        <v>2</v>
      </c>
      <c r="J84" s="11">
        <v>18.899999999999999</v>
      </c>
      <c r="K84" s="36">
        <f t="shared" si="9"/>
        <v>23.88</v>
      </c>
      <c r="L84" s="44">
        <f t="shared" si="10"/>
        <v>47.76</v>
      </c>
      <c r="M84" s="114"/>
    </row>
    <row r="85" spans="1:13" ht="47.25" customHeight="1" x14ac:dyDescent="0.25">
      <c r="A85" s="25"/>
      <c r="B85" s="25"/>
      <c r="C85" s="45" t="s">
        <v>472</v>
      </c>
      <c r="D85" s="15" t="s">
        <v>202</v>
      </c>
      <c r="E85" s="43" t="s">
        <v>74</v>
      </c>
      <c r="F85" s="43">
        <v>91993</v>
      </c>
      <c r="G85" s="13" t="s">
        <v>201</v>
      </c>
      <c r="H85" s="17" t="s">
        <v>16</v>
      </c>
      <c r="I85" s="17">
        <v>6</v>
      </c>
      <c r="J85" s="11">
        <v>31.53</v>
      </c>
      <c r="K85" s="36">
        <f t="shared" si="9"/>
        <v>39.838000000000001</v>
      </c>
      <c r="L85" s="44">
        <f t="shared" si="10"/>
        <v>239.02800000000002</v>
      </c>
      <c r="M85" s="114"/>
    </row>
    <row r="86" spans="1:13" ht="74.25" customHeight="1" x14ac:dyDescent="0.25">
      <c r="A86" s="25"/>
      <c r="B86" s="25"/>
      <c r="C86" s="45" t="s">
        <v>473</v>
      </c>
      <c r="D86" s="15" t="s">
        <v>204</v>
      </c>
      <c r="E86" s="43" t="s">
        <v>74</v>
      </c>
      <c r="F86" s="43">
        <v>102707</v>
      </c>
      <c r="G86" s="13" t="s">
        <v>203</v>
      </c>
      <c r="H86" s="17" t="s">
        <v>16</v>
      </c>
      <c r="I86" s="17">
        <v>3</v>
      </c>
      <c r="J86" s="11">
        <v>76.900000000000006</v>
      </c>
      <c r="K86" s="36">
        <f t="shared" si="9"/>
        <v>97.162999999999997</v>
      </c>
      <c r="L86" s="44">
        <f t="shared" si="10"/>
        <v>291.48899999999998</v>
      </c>
      <c r="M86" s="114"/>
    </row>
    <row r="87" spans="1:13" ht="21.75" customHeight="1" x14ac:dyDescent="0.25">
      <c r="A87" s="25"/>
      <c r="B87" s="25"/>
      <c r="C87" s="89" t="s">
        <v>50</v>
      </c>
      <c r="D87" s="191"/>
      <c r="E87" s="192"/>
      <c r="F87" s="183"/>
      <c r="G87" s="58" t="s">
        <v>467</v>
      </c>
      <c r="H87" s="106"/>
      <c r="I87" s="106"/>
      <c r="J87" s="106"/>
      <c r="K87" s="106"/>
      <c r="L87" s="73"/>
      <c r="M87" s="114"/>
    </row>
    <row r="88" spans="1:13" ht="47.25" customHeight="1" x14ac:dyDescent="0.25">
      <c r="A88" s="25"/>
      <c r="B88" s="25"/>
      <c r="C88" s="45" t="s">
        <v>474</v>
      </c>
      <c r="D88" s="15" t="s">
        <v>129</v>
      </c>
      <c r="E88" s="43" t="s">
        <v>74</v>
      </c>
      <c r="F88" s="43">
        <v>92375</v>
      </c>
      <c r="G88" s="13" t="s">
        <v>130</v>
      </c>
      <c r="H88" s="17" t="s">
        <v>16</v>
      </c>
      <c r="I88" s="17">
        <v>4</v>
      </c>
      <c r="J88" s="11">
        <v>245.97</v>
      </c>
      <c r="K88" s="36">
        <f t="shared" si="9"/>
        <v>310.78300000000002</v>
      </c>
      <c r="L88" s="44">
        <f t="shared" si="10"/>
        <v>1243.1320000000001</v>
      </c>
      <c r="M88" s="114"/>
    </row>
    <row r="89" spans="1:13" ht="32.25" customHeight="1" x14ac:dyDescent="0.25">
      <c r="A89" s="25"/>
      <c r="B89" s="25"/>
      <c r="C89" s="45" t="s">
        <v>475</v>
      </c>
      <c r="D89" s="15" t="s">
        <v>86</v>
      </c>
      <c r="E89" s="43" t="s">
        <v>74</v>
      </c>
      <c r="F89" s="43">
        <v>101961</v>
      </c>
      <c r="G89" s="13" t="s">
        <v>410</v>
      </c>
      <c r="H89" s="17" t="s">
        <v>16</v>
      </c>
      <c r="I89" s="17">
        <v>19</v>
      </c>
      <c r="J89" s="11">
        <v>167.07</v>
      </c>
      <c r="K89" s="36">
        <f t="shared" si="9"/>
        <v>211.09299999999999</v>
      </c>
      <c r="L89" s="44">
        <f t="shared" si="10"/>
        <v>4010.7669999999998</v>
      </c>
      <c r="M89" s="114"/>
    </row>
    <row r="90" spans="1:13" ht="41.25" customHeight="1" x14ac:dyDescent="0.25">
      <c r="A90" s="25"/>
      <c r="B90" s="25"/>
      <c r="C90" s="45" t="s">
        <v>476</v>
      </c>
      <c r="D90" s="15" t="s">
        <v>409</v>
      </c>
      <c r="E90" s="43" t="s">
        <v>74</v>
      </c>
      <c r="F90" s="43">
        <v>102708</v>
      </c>
      <c r="G90" s="13" t="s">
        <v>411</v>
      </c>
      <c r="H90" s="17" t="s">
        <v>16</v>
      </c>
      <c r="I90" s="17">
        <v>3</v>
      </c>
      <c r="J90" s="11">
        <v>103.38</v>
      </c>
      <c r="K90" s="41">
        <f t="shared" si="9"/>
        <v>130.62100000000001</v>
      </c>
      <c r="L90" s="44">
        <f t="shared" si="10"/>
        <v>391.86300000000006</v>
      </c>
      <c r="M90" s="114"/>
    </row>
    <row r="91" spans="1:13" ht="28.5" customHeight="1" x14ac:dyDescent="0.25">
      <c r="A91" s="25"/>
      <c r="B91" s="25"/>
      <c r="C91" s="45" t="s">
        <v>81</v>
      </c>
      <c r="D91" s="15">
        <v>38194</v>
      </c>
      <c r="E91" s="43" t="s">
        <v>20</v>
      </c>
      <c r="F91" s="43">
        <v>102709</v>
      </c>
      <c r="G91" s="13" t="s">
        <v>461</v>
      </c>
      <c r="H91" s="17" t="s">
        <v>16</v>
      </c>
      <c r="I91" s="17">
        <f>I90</f>
        <v>3</v>
      </c>
      <c r="J91" s="11">
        <v>4.95</v>
      </c>
      <c r="K91" s="41">
        <f t="shared" si="9"/>
        <v>6.2539999999999996</v>
      </c>
      <c r="L91" s="44">
        <f t="shared" si="10"/>
        <v>18.762</v>
      </c>
      <c r="M91" s="114"/>
    </row>
    <row r="92" spans="1:13" ht="23.25" customHeight="1" x14ac:dyDescent="0.25">
      <c r="A92" s="25"/>
      <c r="B92" s="25"/>
      <c r="C92" s="89" t="s">
        <v>345</v>
      </c>
      <c r="D92" s="191"/>
      <c r="E92" s="192"/>
      <c r="F92" s="183"/>
      <c r="G92" s="58" t="s">
        <v>468</v>
      </c>
      <c r="H92" s="106"/>
      <c r="I92" s="106"/>
      <c r="J92" s="106"/>
      <c r="K92" s="106"/>
      <c r="L92" s="73"/>
      <c r="M92" s="114"/>
    </row>
    <row r="93" spans="1:13" ht="42" customHeight="1" x14ac:dyDescent="0.25">
      <c r="A93" s="25"/>
      <c r="B93" s="25"/>
      <c r="C93" s="45" t="s">
        <v>479</v>
      </c>
      <c r="D93" s="15" t="s">
        <v>464</v>
      </c>
      <c r="E93" s="43" t="s">
        <v>74</v>
      </c>
      <c r="F93" s="43">
        <v>77118</v>
      </c>
      <c r="G93" s="13" t="s">
        <v>465</v>
      </c>
      <c r="H93" s="17" t="s">
        <v>16</v>
      </c>
      <c r="I93" s="17">
        <v>3</v>
      </c>
      <c r="J93" s="11">
        <v>11.12</v>
      </c>
      <c r="K93" s="41">
        <f t="shared" si="9"/>
        <v>14.05</v>
      </c>
      <c r="L93" s="44">
        <f t="shared" si="10"/>
        <v>42.150000000000006</v>
      </c>
      <c r="M93" s="114"/>
    </row>
    <row r="94" spans="1:13" ht="28.5" customHeight="1" x14ac:dyDescent="0.25">
      <c r="A94" s="25"/>
      <c r="B94" s="25"/>
      <c r="C94" s="45" t="s">
        <v>480</v>
      </c>
      <c r="D94" s="15" t="s">
        <v>478</v>
      </c>
      <c r="E94" s="43" t="s">
        <v>74</v>
      </c>
      <c r="F94" s="43">
        <v>102710</v>
      </c>
      <c r="G94" s="13" t="s">
        <v>477</v>
      </c>
      <c r="H94" s="17" t="s">
        <v>28</v>
      </c>
      <c r="I94" s="17">
        <v>4</v>
      </c>
      <c r="J94" s="11">
        <v>9.3000000000000007</v>
      </c>
      <c r="K94" s="41">
        <f t="shared" si="9"/>
        <v>11.750999999999999</v>
      </c>
      <c r="L94" s="44">
        <f t="shared" si="10"/>
        <v>47.003999999999998</v>
      </c>
      <c r="M94" s="114"/>
    </row>
    <row r="95" spans="1:13" ht="46.5" customHeight="1" x14ac:dyDescent="0.25">
      <c r="A95" s="25"/>
      <c r="B95" s="25"/>
      <c r="C95" s="45" t="s">
        <v>481</v>
      </c>
      <c r="D95" s="15" t="s">
        <v>329</v>
      </c>
      <c r="E95" s="43" t="s">
        <v>74</v>
      </c>
      <c r="F95" s="43">
        <v>92380</v>
      </c>
      <c r="G95" s="13" t="s">
        <v>328</v>
      </c>
      <c r="H95" s="17" t="s">
        <v>28</v>
      </c>
      <c r="I95" s="17">
        <f>I94</f>
        <v>4</v>
      </c>
      <c r="J95" s="11">
        <v>3.01</v>
      </c>
      <c r="K95" s="41">
        <v>3.8029999999999999</v>
      </c>
      <c r="L95" s="44">
        <f t="shared" si="10"/>
        <v>15.212</v>
      </c>
      <c r="M95" s="114"/>
    </row>
    <row r="96" spans="1:13" ht="48" customHeight="1" x14ac:dyDescent="0.25">
      <c r="A96" s="25"/>
      <c r="B96" s="25"/>
      <c r="C96" s="45" t="s">
        <v>482</v>
      </c>
      <c r="D96" s="15" t="s">
        <v>199</v>
      </c>
      <c r="E96" s="43" t="s">
        <v>74</v>
      </c>
      <c r="F96" s="43">
        <v>102711</v>
      </c>
      <c r="G96" s="13" t="s">
        <v>198</v>
      </c>
      <c r="H96" s="17" t="s">
        <v>28</v>
      </c>
      <c r="I96" s="17">
        <v>750</v>
      </c>
      <c r="J96" s="11">
        <v>3.95</v>
      </c>
      <c r="K96" s="41">
        <f t="shared" si="9"/>
        <v>4.9909999999999997</v>
      </c>
      <c r="L96" s="44">
        <f t="shared" si="10"/>
        <v>3743.2499999999995</v>
      </c>
      <c r="M96" s="114"/>
    </row>
    <row r="97" spans="1:13" ht="44.25" customHeight="1" x14ac:dyDescent="0.25">
      <c r="A97" s="25"/>
      <c r="B97" s="25"/>
      <c r="C97" s="45" t="s">
        <v>483</v>
      </c>
      <c r="D97" s="15" t="s">
        <v>87</v>
      </c>
      <c r="E97" s="42" t="s">
        <v>74</v>
      </c>
      <c r="F97" s="42">
        <v>92002</v>
      </c>
      <c r="G97" s="13" t="s">
        <v>200</v>
      </c>
      <c r="H97" s="42" t="s">
        <v>28</v>
      </c>
      <c r="I97" s="35">
        <v>1500</v>
      </c>
      <c r="J97" s="11">
        <v>5.36</v>
      </c>
      <c r="K97" s="41">
        <f t="shared" ref="K97:K103" si="11">ROUND(J97*1.2635,3)</f>
        <v>6.7720000000000002</v>
      </c>
      <c r="L97" s="38">
        <f t="shared" ref="L97:L103" si="12">K97*I97</f>
        <v>10158</v>
      </c>
      <c r="M97" s="114"/>
    </row>
    <row r="98" spans="1:13" ht="47.25" customHeight="1" x14ac:dyDescent="0.25">
      <c r="A98" s="25"/>
      <c r="B98" s="25"/>
      <c r="C98" s="45" t="s">
        <v>484</v>
      </c>
      <c r="D98" s="15" t="s">
        <v>206</v>
      </c>
      <c r="E98" s="42" t="s">
        <v>74</v>
      </c>
      <c r="F98" s="42">
        <v>101841</v>
      </c>
      <c r="G98" s="13" t="s">
        <v>205</v>
      </c>
      <c r="H98" s="42" t="s">
        <v>28</v>
      </c>
      <c r="I98" s="35">
        <v>120</v>
      </c>
      <c r="J98" s="11">
        <v>10.32</v>
      </c>
      <c r="K98" s="41">
        <f t="shared" si="11"/>
        <v>13.039</v>
      </c>
      <c r="L98" s="38">
        <f t="shared" si="12"/>
        <v>1564.68</v>
      </c>
      <c r="M98" s="114"/>
    </row>
    <row r="99" spans="1:13" ht="47.25" customHeight="1" x14ac:dyDescent="0.25">
      <c r="A99" s="25"/>
      <c r="B99" s="25"/>
      <c r="C99" s="45" t="s">
        <v>485</v>
      </c>
      <c r="D99" s="15" t="s">
        <v>208</v>
      </c>
      <c r="E99" s="42" t="s">
        <v>74</v>
      </c>
      <c r="F99" s="42">
        <v>101218</v>
      </c>
      <c r="G99" s="13" t="s">
        <v>207</v>
      </c>
      <c r="H99" s="42" t="s">
        <v>28</v>
      </c>
      <c r="I99" s="35">
        <v>210</v>
      </c>
      <c r="J99" s="11">
        <v>22.62</v>
      </c>
      <c r="K99" s="41">
        <f t="shared" si="11"/>
        <v>28.58</v>
      </c>
      <c r="L99" s="38">
        <f t="shared" si="12"/>
        <v>6001.7999999999993</v>
      </c>
      <c r="M99" s="114"/>
    </row>
    <row r="100" spans="1:13" ht="40.5" customHeight="1" x14ac:dyDescent="0.25">
      <c r="A100" s="25"/>
      <c r="B100" s="25"/>
      <c r="C100" s="45" t="s">
        <v>486</v>
      </c>
      <c r="D100" s="15" t="s">
        <v>131</v>
      </c>
      <c r="E100" s="42" t="s">
        <v>74</v>
      </c>
      <c r="F100" s="42">
        <v>102712</v>
      </c>
      <c r="G100" s="13" t="s">
        <v>132</v>
      </c>
      <c r="H100" s="42" t="s">
        <v>16</v>
      </c>
      <c r="I100" s="35">
        <v>2</v>
      </c>
      <c r="J100" s="11">
        <v>411.99</v>
      </c>
      <c r="K100" s="41">
        <f t="shared" si="11"/>
        <v>520.54899999999998</v>
      </c>
      <c r="L100" s="38">
        <f t="shared" si="12"/>
        <v>1041.098</v>
      </c>
      <c r="M100" s="114"/>
    </row>
    <row r="101" spans="1:13" ht="34.5" customHeight="1" x14ac:dyDescent="0.25">
      <c r="A101" s="25"/>
      <c r="B101" s="25"/>
      <c r="C101" s="45" t="s">
        <v>487</v>
      </c>
      <c r="D101" s="15" t="s">
        <v>133</v>
      </c>
      <c r="E101" s="42" t="s">
        <v>74</v>
      </c>
      <c r="F101" s="42">
        <v>93213</v>
      </c>
      <c r="G101" s="13" t="s">
        <v>134</v>
      </c>
      <c r="H101" s="42" t="s">
        <v>16</v>
      </c>
      <c r="I101" s="35">
        <v>3</v>
      </c>
      <c r="J101" s="11">
        <v>46.64</v>
      </c>
      <c r="K101" s="41">
        <f t="shared" si="11"/>
        <v>58.93</v>
      </c>
      <c r="L101" s="38">
        <f t="shared" si="12"/>
        <v>176.79</v>
      </c>
      <c r="M101" s="114"/>
    </row>
    <row r="102" spans="1:13" ht="42" customHeight="1" x14ac:dyDescent="0.25">
      <c r="A102" s="25"/>
      <c r="B102" s="25"/>
      <c r="C102" s="45" t="s">
        <v>488</v>
      </c>
      <c r="D102" s="15" t="s">
        <v>135</v>
      </c>
      <c r="E102" s="42" t="s">
        <v>74</v>
      </c>
      <c r="F102" s="42">
        <v>100657</v>
      </c>
      <c r="G102" s="13" t="s">
        <v>136</v>
      </c>
      <c r="H102" s="42" t="s">
        <v>16</v>
      </c>
      <c r="I102" s="35">
        <v>1</v>
      </c>
      <c r="J102" s="11">
        <v>137.72</v>
      </c>
      <c r="K102" s="41">
        <f t="shared" si="11"/>
        <v>174.00899999999999</v>
      </c>
      <c r="L102" s="38">
        <f t="shared" si="12"/>
        <v>174.00899999999999</v>
      </c>
      <c r="M102" s="114"/>
    </row>
    <row r="103" spans="1:13" ht="31.5" customHeight="1" x14ac:dyDescent="0.25">
      <c r="A103" s="25"/>
      <c r="B103" s="25"/>
      <c r="C103" s="45" t="s">
        <v>489</v>
      </c>
      <c r="D103" s="15" t="s">
        <v>137</v>
      </c>
      <c r="E103" s="42" t="s">
        <v>74</v>
      </c>
      <c r="F103" s="42">
        <v>102713</v>
      </c>
      <c r="G103" s="13" t="s">
        <v>88</v>
      </c>
      <c r="H103" s="42" t="s">
        <v>16</v>
      </c>
      <c r="I103" s="35">
        <v>6</v>
      </c>
      <c r="J103" s="11">
        <v>18.41</v>
      </c>
      <c r="K103" s="41">
        <f t="shared" si="11"/>
        <v>23.260999999999999</v>
      </c>
      <c r="L103" s="38">
        <f t="shared" si="12"/>
        <v>139.566</v>
      </c>
      <c r="M103" s="114"/>
    </row>
    <row r="104" spans="1:13" ht="15" customHeight="1" x14ac:dyDescent="0.25">
      <c r="A104" s="25"/>
      <c r="B104" s="25"/>
      <c r="C104" s="232" t="s">
        <v>51</v>
      </c>
      <c r="D104" s="233"/>
      <c r="E104" s="233"/>
      <c r="F104" s="233"/>
      <c r="G104" s="233"/>
      <c r="H104" s="233"/>
      <c r="I104" s="233"/>
      <c r="J104" s="233"/>
      <c r="K104" s="234"/>
      <c r="L104" s="54">
        <f>SUM(L82:L103)</f>
        <v>29711.489000000001</v>
      </c>
      <c r="M104" s="114"/>
    </row>
    <row r="105" spans="1:13" x14ac:dyDescent="0.25">
      <c r="A105" s="25"/>
      <c r="B105" s="25"/>
      <c r="C105" s="4">
        <v>7</v>
      </c>
      <c r="D105" s="69"/>
      <c r="E105" s="5"/>
      <c r="F105" s="5"/>
      <c r="G105" s="6" t="s">
        <v>266</v>
      </c>
      <c r="H105" s="198"/>
      <c r="I105" s="199"/>
      <c r="J105" s="199"/>
      <c r="K105" s="199"/>
      <c r="L105" s="200"/>
      <c r="M105" s="114"/>
    </row>
    <row r="106" spans="1:13" x14ac:dyDescent="0.25">
      <c r="A106" s="25"/>
      <c r="B106" s="25"/>
      <c r="C106" s="64" t="s">
        <v>193</v>
      </c>
      <c r="D106" s="191"/>
      <c r="E106" s="192"/>
      <c r="F106" s="183"/>
      <c r="G106" s="61" t="s">
        <v>256</v>
      </c>
      <c r="H106" s="62"/>
      <c r="I106" s="62"/>
      <c r="J106" s="62"/>
      <c r="K106" s="63"/>
      <c r="L106" s="73"/>
      <c r="M106" s="114"/>
    </row>
    <row r="107" spans="1:13" ht="45" customHeight="1" x14ac:dyDescent="0.25">
      <c r="A107" s="25"/>
      <c r="B107" s="25"/>
      <c r="C107" s="39" t="s">
        <v>346</v>
      </c>
      <c r="D107" s="15">
        <v>98115</v>
      </c>
      <c r="E107" s="40" t="s">
        <v>20</v>
      </c>
      <c r="F107" s="42">
        <v>102714</v>
      </c>
      <c r="G107" s="13" t="s">
        <v>197</v>
      </c>
      <c r="H107" s="40" t="s">
        <v>16</v>
      </c>
      <c r="I107" s="35">
        <v>2</v>
      </c>
      <c r="J107" s="11">
        <v>107.72</v>
      </c>
      <c r="K107" s="41">
        <f>ROUND(J107*1.2635,3)</f>
        <v>136.10400000000001</v>
      </c>
      <c r="L107" s="38">
        <f>K107*I107</f>
        <v>272.20800000000003</v>
      </c>
      <c r="M107" s="114"/>
    </row>
    <row r="108" spans="1:13" ht="61.5" customHeight="1" x14ac:dyDescent="0.25">
      <c r="A108" s="25"/>
      <c r="B108" s="25"/>
      <c r="C108" s="39" t="s">
        <v>347</v>
      </c>
      <c r="D108" s="15" t="s">
        <v>270</v>
      </c>
      <c r="E108" s="42" t="s">
        <v>74</v>
      </c>
      <c r="F108" s="42">
        <v>102039</v>
      </c>
      <c r="G108" s="13" t="s">
        <v>269</v>
      </c>
      <c r="H108" s="42" t="s">
        <v>28</v>
      </c>
      <c r="I108" s="35">
        <v>1.2</v>
      </c>
      <c r="J108" s="11">
        <v>80.41</v>
      </c>
      <c r="K108" s="41">
        <f>ROUND(J108*1.2635,3)</f>
        <v>101.598</v>
      </c>
      <c r="L108" s="38">
        <f>K108*I108</f>
        <v>121.91759999999999</v>
      </c>
      <c r="M108" s="114"/>
    </row>
    <row r="109" spans="1:13" ht="43.5" customHeight="1" x14ac:dyDescent="0.25">
      <c r="A109" s="25"/>
      <c r="B109" s="25"/>
      <c r="C109" s="39" t="s">
        <v>348</v>
      </c>
      <c r="D109" s="15">
        <v>103001</v>
      </c>
      <c r="E109" s="42" t="s">
        <v>20</v>
      </c>
      <c r="F109" s="42">
        <v>99417</v>
      </c>
      <c r="G109" s="13" t="s">
        <v>271</v>
      </c>
      <c r="H109" s="42" t="s">
        <v>16</v>
      </c>
      <c r="I109" s="35">
        <v>1.2</v>
      </c>
      <c r="J109" s="11">
        <v>172.01</v>
      </c>
      <c r="K109" s="41">
        <f>ROUND(J109*1.2635,3)</f>
        <v>217.33500000000001</v>
      </c>
      <c r="L109" s="38">
        <f>K109*I109</f>
        <v>260.80200000000002</v>
      </c>
      <c r="M109" s="114"/>
    </row>
    <row r="110" spans="1:13" ht="34.5" customHeight="1" x14ac:dyDescent="0.25">
      <c r="A110" s="25"/>
      <c r="B110" s="25"/>
      <c r="C110" s="39" t="s">
        <v>349</v>
      </c>
      <c r="D110" s="15" t="s">
        <v>323</v>
      </c>
      <c r="E110" s="42" t="s">
        <v>74</v>
      </c>
      <c r="F110" s="42">
        <v>102715</v>
      </c>
      <c r="G110" s="13" t="s">
        <v>322</v>
      </c>
      <c r="H110" s="42" t="s">
        <v>28</v>
      </c>
      <c r="I110" s="35">
        <f>I121</f>
        <v>15</v>
      </c>
      <c r="J110" s="11">
        <v>4.13</v>
      </c>
      <c r="K110" s="41">
        <f t="shared" ref="K110:K116" si="13">ROUND(J110*1.2635,3)</f>
        <v>5.218</v>
      </c>
      <c r="L110" s="38">
        <f t="shared" ref="L110:L116" si="14">K110*I110</f>
        <v>78.27</v>
      </c>
      <c r="M110" s="114"/>
    </row>
    <row r="111" spans="1:13" ht="44.25" customHeight="1" x14ac:dyDescent="0.25">
      <c r="A111" s="25"/>
      <c r="B111" s="25"/>
      <c r="C111" s="39" t="s">
        <v>350</v>
      </c>
      <c r="D111" s="15" t="s">
        <v>329</v>
      </c>
      <c r="E111" s="42" t="s">
        <v>74</v>
      </c>
      <c r="F111" s="42">
        <v>92380</v>
      </c>
      <c r="G111" s="13" t="s">
        <v>328</v>
      </c>
      <c r="H111" s="42" t="s">
        <v>28</v>
      </c>
      <c r="I111" s="35">
        <f>I110</f>
        <v>15</v>
      </c>
      <c r="J111" s="11">
        <v>3.01</v>
      </c>
      <c r="K111" s="41">
        <f t="shared" si="13"/>
        <v>3.8029999999999999</v>
      </c>
      <c r="L111" s="38">
        <f t="shared" si="14"/>
        <v>57.045000000000002</v>
      </c>
      <c r="M111" s="114"/>
    </row>
    <row r="112" spans="1:13" ht="36" customHeight="1" x14ac:dyDescent="0.25">
      <c r="A112" s="25"/>
      <c r="B112" s="25"/>
      <c r="C112" s="39" t="s">
        <v>351</v>
      </c>
      <c r="D112" s="15" t="s">
        <v>325</v>
      </c>
      <c r="E112" s="42" t="s">
        <v>74</v>
      </c>
      <c r="F112" s="42">
        <v>97659</v>
      </c>
      <c r="G112" s="13" t="s">
        <v>324</v>
      </c>
      <c r="H112" s="42" t="s">
        <v>28</v>
      </c>
      <c r="I112" s="35">
        <f>I122</f>
        <v>10</v>
      </c>
      <c r="J112" s="11">
        <v>6.43</v>
      </c>
      <c r="K112" s="41">
        <f t="shared" si="13"/>
        <v>8.1240000000000006</v>
      </c>
      <c r="L112" s="38">
        <f t="shared" si="14"/>
        <v>81.240000000000009</v>
      </c>
      <c r="M112" s="114"/>
    </row>
    <row r="113" spans="1:13" ht="36" customHeight="1" x14ac:dyDescent="0.25">
      <c r="A113" s="25"/>
      <c r="B113" s="25"/>
      <c r="C113" s="39" t="s">
        <v>352</v>
      </c>
      <c r="D113" s="15" t="s">
        <v>327</v>
      </c>
      <c r="E113" s="42" t="s">
        <v>74</v>
      </c>
      <c r="F113" s="42">
        <v>102716</v>
      </c>
      <c r="G113" s="13" t="s">
        <v>326</v>
      </c>
      <c r="H113" s="42" t="s">
        <v>28</v>
      </c>
      <c r="I113" s="35">
        <f>I119</f>
        <v>10</v>
      </c>
      <c r="J113" s="11">
        <v>12.57</v>
      </c>
      <c r="K113" s="41">
        <f>ROUND(J113*1.2635,3)</f>
        <v>15.882</v>
      </c>
      <c r="L113" s="38">
        <f>K113*I113</f>
        <v>158.82</v>
      </c>
      <c r="M113" s="114"/>
    </row>
    <row r="114" spans="1:13" ht="45.75" customHeight="1" x14ac:dyDescent="0.25">
      <c r="A114" s="25"/>
      <c r="B114" s="25"/>
      <c r="C114" s="39" t="s">
        <v>353</v>
      </c>
      <c r="D114" s="15" t="s">
        <v>331</v>
      </c>
      <c r="E114" s="42" t="s">
        <v>74</v>
      </c>
      <c r="F114" s="42">
        <v>97660</v>
      </c>
      <c r="G114" s="13" t="s">
        <v>330</v>
      </c>
      <c r="H114" s="42" t="s">
        <v>28</v>
      </c>
      <c r="I114" s="35">
        <f>I112+I113</f>
        <v>20</v>
      </c>
      <c r="J114" s="11">
        <v>3.89</v>
      </c>
      <c r="K114" s="41">
        <f t="shared" si="13"/>
        <v>4.915</v>
      </c>
      <c r="L114" s="38">
        <f t="shared" si="14"/>
        <v>98.3</v>
      </c>
      <c r="M114" s="114"/>
    </row>
    <row r="115" spans="1:13" ht="33" customHeight="1" x14ac:dyDescent="0.25">
      <c r="A115" s="25"/>
      <c r="B115" s="25"/>
      <c r="C115" s="39" t="s">
        <v>354</v>
      </c>
      <c r="D115" s="15" t="s">
        <v>335</v>
      </c>
      <c r="E115" s="42" t="s">
        <v>74</v>
      </c>
      <c r="F115" s="42">
        <v>102717</v>
      </c>
      <c r="G115" s="13" t="s">
        <v>334</v>
      </c>
      <c r="H115" s="42" t="s">
        <v>28</v>
      </c>
      <c r="I115" s="35">
        <f>I120</f>
        <v>5</v>
      </c>
      <c r="J115" s="11">
        <v>16.07</v>
      </c>
      <c r="K115" s="41">
        <f t="shared" si="13"/>
        <v>20.303999999999998</v>
      </c>
      <c r="L115" s="38">
        <f t="shared" si="14"/>
        <v>101.52</v>
      </c>
      <c r="M115" s="114"/>
    </row>
    <row r="116" spans="1:13" ht="43.5" customHeight="1" x14ac:dyDescent="0.25">
      <c r="A116" s="25"/>
      <c r="B116" s="25"/>
      <c r="C116" s="39" t="s">
        <v>355</v>
      </c>
      <c r="D116" s="15" t="s">
        <v>333</v>
      </c>
      <c r="E116" s="42" t="s">
        <v>74</v>
      </c>
      <c r="F116" s="42">
        <v>102718</v>
      </c>
      <c r="G116" s="13" t="s">
        <v>332</v>
      </c>
      <c r="H116" s="42" t="s">
        <v>28</v>
      </c>
      <c r="I116" s="35">
        <f>I115</f>
        <v>5</v>
      </c>
      <c r="J116" s="11">
        <v>6.4</v>
      </c>
      <c r="K116" s="41">
        <f t="shared" si="13"/>
        <v>8.0860000000000003</v>
      </c>
      <c r="L116" s="38">
        <f t="shared" si="14"/>
        <v>40.43</v>
      </c>
      <c r="M116" s="114"/>
    </row>
    <row r="117" spans="1:13" ht="43.5" customHeight="1" x14ac:dyDescent="0.25">
      <c r="A117" s="25"/>
      <c r="B117" s="25"/>
      <c r="C117" s="39" t="s">
        <v>356</v>
      </c>
      <c r="D117" s="15" t="s">
        <v>321</v>
      </c>
      <c r="E117" s="42" t="s">
        <v>74</v>
      </c>
      <c r="F117" s="42">
        <v>98101</v>
      </c>
      <c r="G117" s="13" t="s">
        <v>320</v>
      </c>
      <c r="H117" s="42" t="s">
        <v>28</v>
      </c>
      <c r="I117" s="35">
        <v>5</v>
      </c>
      <c r="J117" s="11">
        <v>38.78</v>
      </c>
      <c r="K117" s="41">
        <f t="shared" ref="K117:K122" si="15">ROUND(J117*1.2635,3)</f>
        <v>48.999000000000002</v>
      </c>
      <c r="L117" s="38">
        <f t="shared" ref="L117:L122" si="16">K117*I117</f>
        <v>244.995</v>
      </c>
      <c r="M117" s="114"/>
    </row>
    <row r="118" spans="1:13" ht="18.75" customHeight="1" x14ac:dyDescent="0.25">
      <c r="A118" s="25"/>
      <c r="B118" s="25"/>
      <c r="C118" s="39" t="s">
        <v>357</v>
      </c>
      <c r="D118" s="15" t="s">
        <v>319</v>
      </c>
      <c r="E118" s="42" t="s">
        <v>74</v>
      </c>
      <c r="F118" s="42">
        <v>102719</v>
      </c>
      <c r="G118" s="13" t="s">
        <v>318</v>
      </c>
      <c r="H118" s="42" t="s">
        <v>16</v>
      </c>
      <c r="I118" s="35">
        <v>4</v>
      </c>
      <c r="J118" s="11">
        <v>38.53</v>
      </c>
      <c r="K118" s="41">
        <f t="shared" si="15"/>
        <v>48.683</v>
      </c>
      <c r="L118" s="38">
        <f t="shared" si="16"/>
        <v>194.732</v>
      </c>
      <c r="M118" s="114"/>
    </row>
    <row r="119" spans="1:13" ht="34.5" customHeight="1" x14ac:dyDescent="0.25">
      <c r="A119" s="25"/>
      <c r="B119" s="25"/>
      <c r="C119" s="39" t="s">
        <v>358</v>
      </c>
      <c r="D119" s="15" t="s">
        <v>310</v>
      </c>
      <c r="E119" s="42" t="s">
        <v>74</v>
      </c>
      <c r="F119" s="42">
        <v>77121</v>
      </c>
      <c r="G119" s="13" t="s">
        <v>309</v>
      </c>
      <c r="H119" s="42" t="s">
        <v>28</v>
      </c>
      <c r="I119" s="35">
        <v>10</v>
      </c>
      <c r="J119" s="11">
        <v>26.66</v>
      </c>
      <c r="K119" s="41">
        <f t="shared" si="15"/>
        <v>33.685000000000002</v>
      </c>
      <c r="L119" s="38">
        <f t="shared" si="16"/>
        <v>336.85</v>
      </c>
      <c r="M119" s="114"/>
    </row>
    <row r="120" spans="1:13" ht="34.5" customHeight="1" x14ac:dyDescent="0.25">
      <c r="A120" s="25"/>
      <c r="B120" s="25"/>
      <c r="C120" s="39" t="s">
        <v>359</v>
      </c>
      <c r="D120" s="15" t="s">
        <v>312</v>
      </c>
      <c r="E120" s="42" t="s">
        <v>74</v>
      </c>
      <c r="F120" s="42">
        <v>93256</v>
      </c>
      <c r="G120" s="13" t="s">
        <v>311</v>
      </c>
      <c r="H120" s="42" t="s">
        <v>28</v>
      </c>
      <c r="I120" s="35">
        <v>5</v>
      </c>
      <c r="J120" s="11">
        <v>45.98</v>
      </c>
      <c r="K120" s="41">
        <f t="shared" si="15"/>
        <v>58.095999999999997</v>
      </c>
      <c r="L120" s="38">
        <f t="shared" si="16"/>
        <v>290.47999999999996</v>
      </c>
      <c r="M120" s="114"/>
    </row>
    <row r="121" spans="1:13" ht="34.5" customHeight="1" x14ac:dyDescent="0.25">
      <c r="A121" s="25"/>
      <c r="B121" s="25"/>
      <c r="C121" s="39" t="s">
        <v>360</v>
      </c>
      <c r="D121" s="15" t="s">
        <v>314</v>
      </c>
      <c r="E121" s="42" t="s">
        <v>74</v>
      </c>
      <c r="F121" s="42">
        <v>97662</v>
      </c>
      <c r="G121" s="13" t="s">
        <v>313</v>
      </c>
      <c r="H121" s="42" t="s">
        <v>28</v>
      </c>
      <c r="I121" s="35">
        <v>15</v>
      </c>
      <c r="J121" s="11">
        <v>23.43</v>
      </c>
      <c r="K121" s="41">
        <f t="shared" si="15"/>
        <v>29.603999999999999</v>
      </c>
      <c r="L121" s="38">
        <f t="shared" si="16"/>
        <v>444.06</v>
      </c>
      <c r="M121" s="114"/>
    </row>
    <row r="122" spans="1:13" ht="34.5" customHeight="1" x14ac:dyDescent="0.25">
      <c r="A122" s="25"/>
      <c r="B122" s="25"/>
      <c r="C122" s="39" t="s">
        <v>361</v>
      </c>
      <c r="D122" s="15" t="s">
        <v>316</v>
      </c>
      <c r="E122" s="42" t="s">
        <v>74</v>
      </c>
      <c r="F122" s="42">
        <v>99054</v>
      </c>
      <c r="G122" s="13" t="s">
        <v>315</v>
      </c>
      <c r="H122" s="42" t="s">
        <v>28</v>
      </c>
      <c r="I122" s="35">
        <v>10</v>
      </c>
      <c r="J122" s="11">
        <v>40.82</v>
      </c>
      <c r="K122" s="41">
        <f t="shared" si="15"/>
        <v>51.576000000000001</v>
      </c>
      <c r="L122" s="38">
        <f t="shared" si="16"/>
        <v>515.76</v>
      </c>
      <c r="M122" s="114"/>
    </row>
    <row r="123" spans="1:13" ht="15.75" customHeight="1" x14ac:dyDescent="0.25">
      <c r="A123" s="25"/>
      <c r="B123" s="25"/>
      <c r="C123" s="65" t="s">
        <v>78</v>
      </c>
      <c r="D123" s="193"/>
      <c r="E123" s="194"/>
      <c r="F123" s="186"/>
      <c r="G123" s="58" t="s">
        <v>184</v>
      </c>
      <c r="H123" s="66"/>
      <c r="I123" s="67"/>
      <c r="J123" s="59"/>
      <c r="K123" s="68"/>
      <c r="L123" s="60"/>
      <c r="M123" s="114"/>
    </row>
    <row r="124" spans="1:13" ht="51" customHeight="1" x14ac:dyDescent="0.25">
      <c r="A124" s="25"/>
      <c r="B124" s="25"/>
      <c r="C124" s="39" t="s">
        <v>92</v>
      </c>
      <c r="D124" s="15" t="s">
        <v>138</v>
      </c>
      <c r="E124" s="40" t="s">
        <v>74</v>
      </c>
      <c r="F124" s="42">
        <v>77151</v>
      </c>
      <c r="G124" s="13" t="s">
        <v>139</v>
      </c>
      <c r="H124" s="40" t="s">
        <v>16</v>
      </c>
      <c r="I124" s="35">
        <v>2</v>
      </c>
      <c r="J124" s="11">
        <v>409.64</v>
      </c>
      <c r="K124" s="41">
        <f t="shared" ref="K124:K160" si="17">ROUND(J124*1.2635,3)</f>
        <v>517.58000000000004</v>
      </c>
      <c r="L124" s="38">
        <f t="shared" ref="L124:L129" si="18">K124*I124</f>
        <v>1035.1600000000001</v>
      </c>
      <c r="M124" s="114"/>
    </row>
    <row r="125" spans="1:13" ht="72" customHeight="1" x14ac:dyDescent="0.25">
      <c r="A125" s="25"/>
      <c r="B125" s="25"/>
      <c r="C125" s="39" t="s">
        <v>95</v>
      </c>
      <c r="D125" s="15" t="s">
        <v>308</v>
      </c>
      <c r="E125" s="42" t="s">
        <v>74</v>
      </c>
      <c r="F125" s="42">
        <v>93236</v>
      </c>
      <c r="G125" s="13" t="s">
        <v>307</v>
      </c>
      <c r="H125" s="42" t="s">
        <v>16</v>
      </c>
      <c r="I125" s="35">
        <v>2</v>
      </c>
      <c r="J125" s="11">
        <v>458.94</v>
      </c>
      <c r="K125" s="41">
        <f t="shared" si="17"/>
        <v>579.87099999999998</v>
      </c>
      <c r="L125" s="38">
        <f t="shared" si="18"/>
        <v>1159.742</v>
      </c>
      <c r="M125" s="114"/>
    </row>
    <row r="126" spans="1:13" ht="74.25" customHeight="1" x14ac:dyDescent="0.25">
      <c r="A126" s="25"/>
      <c r="B126" s="25"/>
      <c r="C126" s="39" t="s">
        <v>96</v>
      </c>
      <c r="D126" s="15" t="s">
        <v>302</v>
      </c>
      <c r="E126" s="42" t="s">
        <v>74</v>
      </c>
      <c r="F126" s="42">
        <v>102446</v>
      </c>
      <c r="G126" s="13" t="s">
        <v>557</v>
      </c>
      <c r="H126" s="42" t="s">
        <v>22</v>
      </c>
      <c r="I126" s="35">
        <f>0.6*1.5</f>
        <v>0.89999999999999991</v>
      </c>
      <c r="J126" s="11">
        <v>1752.98</v>
      </c>
      <c r="K126" s="41">
        <f t="shared" si="17"/>
        <v>2214.89</v>
      </c>
      <c r="L126" s="38">
        <f t="shared" si="18"/>
        <v>1993.4009999999996</v>
      </c>
      <c r="M126" s="114"/>
    </row>
    <row r="127" spans="1:13" ht="45.75" customHeight="1" x14ac:dyDescent="0.25">
      <c r="A127" s="25"/>
      <c r="B127" s="25"/>
      <c r="C127" s="39" t="s">
        <v>97</v>
      </c>
      <c r="D127" s="15" t="s">
        <v>145</v>
      </c>
      <c r="E127" s="42" t="s">
        <v>74</v>
      </c>
      <c r="F127" s="42">
        <v>77154</v>
      </c>
      <c r="G127" s="13" t="s">
        <v>146</v>
      </c>
      <c r="H127" s="42" t="s">
        <v>16</v>
      </c>
      <c r="I127" s="34">
        <v>5</v>
      </c>
      <c r="J127" s="11">
        <v>142.69</v>
      </c>
      <c r="K127" s="41">
        <f>ROUND(J127*1.2635,3)</f>
        <v>180.28899999999999</v>
      </c>
      <c r="L127" s="38">
        <f t="shared" si="18"/>
        <v>901.44499999999994</v>
      </c>
      <c r="M127" s="114"/>
    </row>
    <row r="128" spans="1:13" ht="45.75" customHeight="1" x14ac:dyDescent="0.25">
      <c r="A128" s="25"/>
      <c r="B128" s="25"/>
      <c r="C128" s="39" t="s">
        <v>362</v>
      </c>
      <c r="D128" s="15" t="s">
        <v>273</v>
      </c>
      <c r="E128" s="42" t="s">
        <v>74</v>
      </c>
      <c r="F128" s="42">
        <v>92424</v>
      </c>
      <c r="G128" s="13" t="s">
        <v>286</v>
      </c>
      <c r="H128" s="42" t="s">
        <v>16</v>
      </c>
      <c r="I128" s="34">
        <f>I125</f>
        <v>2</v>
      </c>
      <c r="J128" s="11">
        <v>337.85</v>
      </c>
      <c r="K128" s="41">
        <f>ROUND(J128*1.2635,3)</f>
        <v>426.87299999999999</v>
      </c>
      <c r="L128" s="38">
        <f t="shared" si="18"/>
        <v>853.74599999999998</v>
      </c>
      <c r="M128" s="114"/>
    </row>
    <row r="129" spans="1:13" ht="45.75" customHeight="1" x14ac:dyDescent="0.25">
      <c r="A129" s="25"/>
      <c r="B129" s="25"/>
      <c r="C129" s="39" t="s">
        <v>363</v>
      </c>
      <c r="D129" s="15">
        <v>95471</v>
      </c>
      <c r="E129" s="42" t="s">
        <v>20</v>
      </c>
      <c r="F129" s="42">
        <v>102720</v>
      </c>
      <c r="G129" s="13" t="s">
        <v>284</v>
      </c>
      <c r="H129" s="42" t="s">
        <v>16</v>
      </c>
      <c r="I129" s="34">
        <v>2</v>
      </c>
      <c r="J129" s="11">
        <v>884.82</v>
      </c>
      <c r="K129" s="41">
        <f>ROUND(J129*1.2635,3)</f>
        <v>1117.97</v>
      </c>
      <c r="L129" s="38">
        <f t="shared" si="18"/>
        <v>2235.94</v>
      </c>
      <c r="M129" s="114"/>
    </row>
    <row r="130" spans="1:13" ht="47.25" customHeight="1" x14ac:dyDescent="0.25">
      <c r="A130" s="25"/>
      <c r="B130" s="25"/>
      <c r="C130" s="39" t="s">
        <v>364</v>
      </c>
      <c r="D130" s="15" t="s">
        <v>434</v>
      </c>
      <c r="E130" s="42" t="s">
        <v>74</v>
      </c>
      <c r="F130" s="42">
        <v>102721</v>
      </c>
      <c r="G130" s="13" t="s">
        <v>439</v>
      </c>
      <c r="H130" s="42" t="s">
        <v>16</v>
      </c>
      <c r="I130" s="34">
        <v>3</v>
      </c>
      <c r="J130" s="11">
        <v>7.43</v>
      </c>
      <c r="K130" s="41">
        <f t="shared" ref="K130:K136" si="19">ROUND(J130*1.2635,3)</f>
        <v>9.3879999999999999</v>
      </c>
      <c r="L130" s="38">
        <f t="shared" ref="L130:L137" si="20">K130*I130</f>
        <v>28.164000000000001</v>
      </c>
      <c r="M130" s="114"/>
    </row>
    <row r="131" spans="1:13" ht="44.25" customHeight="1" x14ac:dyDescent="0.25">
      <c r="A131" s="25"/>
      <c r="B131" s="25"/>
      <c r="C131" s="39" t="s">
        <v>365</v>
      </c>
      <c r="D131" s="15" t="s">
        <v>435</v>
      </c>
      <c r="E131" s="42" t="s">
        <v>74</v>
      </c>
      <c r="F131" s="42">
        <v>102722</v>
      </c>
      <c r="G131" s="13" t="s">
        <v>438</v>
      </c>
      <c r="H131" s="42" t="s">
        <v>16</v>
      </c>
      <c r="I131" s="34">
        <f>2*I130</f>
        <v>6</v>
      </c>
      <c r="J131" s="11">
        <v>2.95</v>
      </c>
      <c r="K131" s="41">
        <f t="shared" si="19"/>
        <v>3.7269999999999999</v>
      </c>
      <c r="L131" s="38">
        <f t="shared" si="20"/>
        <v>22.361999999999998</v>
      </c>
      <c r="M131" s="114"/>
    </row>
    <row r="132" spans="1:13" ht="43.5" customHeight="1" x14ac:dyDescent="0.25">
      <c r="A132" s="25"/>
      <c r="B132" s="25"/>
      <c r="C132" s="39" t="s">
        <v>98</v>
      </c>
      <c r="D132" s="15" t="s">
        <v>436</v>
      </c>
      <c r="E132" s="42" t="s">
        <v>74</v>
      </c>
      <c r="F132" s="42">
        <v>102723</v>
      </c>
      <c r="G132" s="13" t="s">
        <v>437</v>
      </c>
      <c r="H132" s="42" t="s">
        <v>40</v>
      </c>
      <c r="I132" s="34">
        <f>1.22*I130</f>
        <v>3.66</v>
      </c>
      <c r="J132" s="11">
        <v>25.53</v>
      </c>
      <c r="K132" s="41">
        <f t="shared" si="19"/>
        <v>32.256999999999998</v>
      </c>
      <c r="L132" s="38">
        <f t="shared" si="20"/>
        <v>118.06062</v>
      </c>
      <c r="M132" s="114"/>
    </row>
    <row r="133" spans="1:13" ht="43.5" customHeight="1" x14ac:dyDescent="0.25">
      <c r="A133" s="25"/>
      <c r="B133" s="25"/>
      <c r="C133" s="39" t="s">
        <v>366</v>
      </c>
      <c r="D133" s="15" t="s">
        <v>442</v>
      </c>
      <c r="E133" s="42" t="s">
        <v>74</v>
      </c>
      <c r="F133" s="42">
        <v>102724</v>
      </c>
      <c r="G133" s="13" t="s">
        <v>443</v>
      </c>
      <c r="H133" s="42" t="s">
        <v>40</v>
      </c>
      <c r="I133" s="34">
        <f>2.44*I130</f>
        <v>7.32</v>
      </c>
      <c r="J133" s="11">
        <v>31.06</v>
      </c>
      <c r="K133" s="41">
        <f t="shared" si="19"/>
        <v>39.244</v>
      </c>
      <c r="L133" s="38">
        <f t="shared" si="20"/>
        <v>287.26607999999999</v>
      </c>
      <c r="M133" s="114"/>
    </row>
    <row r="134" spans="1:13" ht="35.25" customHeight="1" x14ac:dyDescent="0.25">
      <c r="A134" s="25"/>
      <c r="B134" s="25"/>
      <c r="C134" s="39" t="s">
        <v>367</v>
      </c>
      <c r="D134" s="15" t="s">
        <v>440</v>
      </c>
      <c r="E134" s="42" t="s">
        <v>74</v>
      </c>
      <c r="F134" s="42">
        <v>102725</v>
      </c>
      <c r="G134" s="13" t="s">
        <v>441</v>
      </c>
      <c r="H134" s="42" t="s">
        <v>40</v>
      </c>
      <c r="I134" s="34">
        <f>0.49*I130</f>
        <v>1.47</v>
      </c>
      <c r="J134" s="11">
        <v>23.5</v>
      </c>
      <c r="K134" s="41">
        <f t="shared" si="19"/>
        <v>29.692</v>
      </c>
      <c r="L134" s="38">
        <f t="shared" si="20"/>
        <v>43.647239999999996</v>
      </c>
      <c r="M134" s="114"/>
    </row>
    <row r="135" spans="1:13" ht="47.25" customHeight="1" x14ac:dyDescent="0.25">
      <c r="A135" s="25"/>
      <c r="B135" s="25"/>
      <c r="C135" s="39" t="s">
        <v>368</v>
      </c>
      <c r="D135" s="15" t="s">
        <v>444</v>
      </c>
      <c r="E135" s="42" t="s">
        <v>74</v>
      </c>
      <c r="F135" s="42">
        <v>94119</v>
      </c>
      <c r="G135" s="13" t="s">
        <v>445</v>
      </c>
      <c r="H135" s="42" t="s">
        <v>16</v>
      </c>
      <c r="I135" s="34">
        <f>I130</f>
        <v>3</v>
      </c>
      <c r="J135" s="11">
        <v>162.13999999999999</v>
      </c>
      <c r="K135" s="41">
        <f t="shared" si="19"/>
        <v>204.864</v>
      </c>
      <c r="L135" s="38">
        <f t="shared" si="20"/>
        <v>614.59199999999998</v>
      </c>
      <c r="M135" s="114"/>
    </row>
    <row r="136" spans="1:13" ht="33.75" customHeight="1" x14ac:dyDescent="0.25">
      <c r="A136" s="25"/>
      <c r="B136" s="25"/>
      <c r="C136" s="39" t="s">
        <v>369</v>
      </c>
      <c r="D136" s="15">
        <v>99818</v>
      </c>
      <c r="E136" s="42" t="s">
        <v>20</v>
      </c>
      <c r="F136" s="42">
        <v>102729</v>
      </c>
      <c r="G136" s="13" t="s">
        <v>433</v>
      </c>
      <c r="H136" s="42" t="s">
        <v>16</v>
      </c>
      <c r="I136" s="34">
        <f>I130</f>
        <v>3</v>
      </c>
      <c r="J136" s="11">
        <v>6.17</v>
      </c>
      <c r="K136" s="41">
        <f t="shared" si="19"/>
        <v>7.7960000000000003</v>
      </c>
      <c r="L136" s="38">
        <f t="shared" si="20"/>
        <v>23.388000000000002</v>
      </c>
      <c r="M136" s="114"/>
    </row>
    <row r="137" spans="1:13" ht="34.5" customHeight="1" x14ac:dyDescent="0.25">
      <c r="A137" s="25"/>
      <c r="B137" s="25"/>
      <c r="C137" s="39" t="s">
        <v>370</v>
      </c>
      <c r="D137" s="15" t="s">
        <v>288</v>
      </c>
      <c r="E137" s="42" t="s">
        <v>74</v>
      </c>
      <c r="F137" s="42">
        <v>91592</v>
      </c>
      <c r="G137" s="13" t="s">
        <v>287</v>
      </c>
      <c r="H137" s="42" t="s">
        <v>16</v>
      </c>
      <c r="I137" s="34">
        <v>1</v>
      </c>
      <c r="J137" s="11">
        <v>566.73</v>
      </c>
      <c r="K137" s="41">
        <f>ROUND(J137*1.2635,3)</f>
        <v>716.06299999999999</v>
      </c>
      <c r="L137" s="38">
        <f t="shared" si="20"/>
        <v>716.06299999999999</v>
      </c>
      <c r="M137" s="114"/>
    </row>
    <row r="138" spans="1:13" ht="30.75" customHeight="1" x14ac:dyDescent="0.25">
      <c r="A138" s="25"/>
      <c r="B138" s="25"/>
      <c r="C138" s="39" t="s">
        <v>371</v>
      </c>
      <c r="D138" s="15" t="s">
        <v>147</v>
      </c>
      <c r="E138" s="40" t="s">
        <v>74</v>
      </c>
      <c r="F138" s="42">
        <v>92427</v>
      </c>
      <c r="G138" s="13" t="s">
        <v>148</v>
      </c>
      <c r="H138" s="40" t="s">
        <v>16</v>
      </c>
      <c r="I138" s="34">
        <f>I129+I130</f>
        <v>5</v>
      </c>
      <c r="J138" s="11">
        <v>410.61</v>
      </c>
      <c r="K138" s="41">
        <f t="shared" si="17"/>
        <v>518.80600000000004</v>
      </c>
      <c r="L138" s="38">
        <f t="shared" ref="L138:L143" si="21">K138*I138</f>
        <v>2594.0300000000002</v>
      </c>
      <c r="M138" s="114"/>
    </row>
    <row r="139" spans="1:13" ht="30.75" customHeight="1" x14ac:dyDescent="0.25">
      <c r="A139" s="25"/>
      <c r="B139" s="25"/>
      <c r="C139" s="39" t="s">
        <v>446</v>
      </c>
      <c r="D139" s="15" t="s">
        <v>290</v>
      </c>
      <c r="E139" s="42" t="s">
        <v>74</v>
      </c>
      <c r="F139" s="42">
        <v>94126</v>
      </c>
      <c r="G139" s="13" t="s">
        <v>289</v>
      </c>
      <c r="H139" s="42" t="s">
        <v>16</v>
      </c>
      <c r="I139" s="34">
        <f>I137</f>
        <v>1</v>
      </c>
      <c r="J139" s="11">
        <v>300</v>
      </c>
      <c r="K139" s="41">
        <f t="shared" si="17"/>
        <v>379.05</v>
      </c>
      <c r="L139" s="38">
        <f t="shared" si="21"/>
        <v>379.05</v>
      </c>
      <c r="M139" s="114"/>
    </row>
    <row r="140" spans="1:13" ht="45" customHeight="1" x14ac:dyDescent="0.25">
      <c r="A140" s="25"/>
      <c r="B140" s="25"/>
      <c r="C140" s="39" t="s">
        <v>447</v>
      </c>
      <c r="D140" s="15" t="s">
        <v>306</v>
      </c>
      <c r="E140" s="42" t="s">
        <v>74</v>
      </c>
      <c r="F140" s="42">
        <v>101101</v>
      </c>
      <c r="G140" s="13" t="s">
        <v>305</v>
      </c>
      <c r="H140" s="42" t="s">
        <v>16</v>
      </c>
      <c r="I140" s="34">
        <v>1</v>
      </c>
      <c r="J140" s="11">
        <v>39.51</v>
      </c>
      <c r="K140" s="41">
        <f t="shared" si="17"/>
        <v>49.920999999999999</v>
      </c>
      <c r="L140" s="38">
        <f t="shared" si="21"/>
        <v>49.920999999999999</v>
      </c>
      <c r="M140" s="114"/>
    </row>
    <row r="141" spans="1:13" ht="42.75" customHeight="1" x14ac:dyDescent="0.25">
      <c r="A141" s="25"/>
      <c r="B141" s="25"/>
      <c r="C141" s="39" t="s">
        <v>448</v>
      </c>
      <c r="D141" s="15" t="s">
        <v>303</v>
      </c>
      <c r="E141" s="42" t="s">
        <v>74</v>
      </c>
      <c r="F141" s="42">
        <v>102414</v>
      </c>
      <c r="G141" s="13" t="s">
        <v>304</v>
      </c>
      <c r="H141" s="42" t="s">
        <v>16</v>
      </c>
      <c r="I141" s="34">
        <f>I140</f>
        <v>1</v>
      </c>
      <c r="J141" s="11">
        <v>218.28</v>
      </c>
      <c r="K141" s="41">
        <f t="shared" si="17"/>
        <v>275.79700000000003</v>
      </c>
      <c r="L141" s="38">
        <f t="shared" si="21"/>
        <v>275.79700000000003</v>
      </c>
      <c r="M141" s="114"/>
    </row>
    <row r="142" spans="1:13" ht="43.5" customHeight="1" x14ac:dyDescent="0.25">
      <c r="A142" s="25"/>
      <c r="B142" s="25"/>
      <c r="C142" s="39" t="s">
        <v>449</v>
      </c>
      <c r="D142" s="15" t="s">
        <v>292</v>
      </c>
      <c r="E142" s="42" t="s">
        <v>74</v>
      </c>
      <c r="F142" s="42">
        <v>102733</v>
      </c>
      <c r="G142" s="13" t="s">
        <v>291</v>
      </c>
      <c r="H142" s="42" t="s">
        <v>16</v>
      </c>
      <c r="I142" s="34">
        <f>I150</f>
        <v>2</v>
      </c>
      <c r="J142" s="11">
        <v>98.35</v>
      </c>
      <c r="K142" s="41">
        <f t="shared" si="17"/>
        <v>124.265</v>
      </c>
      <c r="L142" s="38">
        <f t="shared" si="21"/>
        <v>248.53</v>
      </c>
      <c r="M142" s="114"/>
    </row>
    <row r="143" spans="1:13" ht="45.75" customHeight="1" x14ac:dyDescent="0.25">
      <c r="A143" s="25"/>
      <c r="B143" s="25"/>
      <c r="C143" s="39" t="s">
        <v>450</v>
      </c>
      <c r="D143" s="15" t="s">
        <v>151</v>
      </c>
      <c r="E143" s="42" t="s">
        <v>74</v>
      </c>
      <c r="F143" s="42">
        <v>92429</v>
      </c>
      <c r="G143" s="13" t="s">
        <v>152</v>
      </c>
      <c r="H143" s="42" t="s">
        <v>16</v>
      </c>
      <c r="I143" s="35">
        <v>11</v>
      </c>
      <c r="J143" s="11">
        <v>97.32</v>
      </c>
      <c r="K143" s="41">
        <f>ROUND(J143*1.2635,3)</f>
        <v>122.964</v>
      </c>
      <c r="L143" s="38">
        <f t="shared" si="21"/>
        <v>1352.604</v>
      </c>
      <c r="M143" s="114"/>
    </row>
    <row r="144" spans="1:13" ht="18.75" customHeight="1" x14ac:dyDescent="0.25">
      <c r="A144" s="25"/>
      <c r="B144" s="25"/>
      <c r="C144" s="65" t="s">
        <v>372</v>
      </c>
      <c r="D144" s="193"/>
      <c r="E144" s="194"/>
      <c r="F144" s="186"/>
      <c r="G144" s="58" t="s">
        <v>185</v>
      </c>
      <c r="H144" s="66"/>
      <c r="I144" s="67"/>
      <c r="J144" s="59"/>
      <c r="K144" s="59"/>
      <c r="L144" s="60"/>
      <c r="M144" s="114"/>
    </row>
    <row r="145" spans="1:13" ht="30.75" customHeight="1" x14ac:dyDescent="0.25">
      <c r="A145" s="25"/>
      <c r="B145" s="25"/>
      <c r="C145" s="39" t="s">
        <v>373</v>
      </c>
      <c r="D145" s="15" t="s">
        <v>159</v>
      </c>
      <c r="E145" s="42" t="s">
        <v>74</v>
      </c>
      <c r="F145" s="42">
        <v>92432</v>
      </c>
      <c r="G145" s="13" t="s">
        <v>160</v>
      </c>
      <c r="H145" s="42" t="s">
        <v>22</v>
      </c>
      <c r="I145" s="35">
        <f>6.34*2</f>
        <v>12.68</v>
      </c>
      <c r="J145" s="11">
        <v>697.77</v>
      </c>
      <c r="K145" s="41">
        <f>ROUND(J145*1.2635,3)</f>
        <v>881.63199999999995</v>
      </c>
      <c r="L145" s="38">
        <f>I145*K145</f>
        <v>11179.09376</v>
      </c>
      <c r="M145" s="114"/>
    </row>
    <row r="146" spans="1:13" ht="30.75" customHeight="1" x14ac:dyDescent="0.25">
      <c r="A146" s="25"/>
      <c r="B146" s="25"/>
      <c r="C146" s="39" t="s">
        <v>374</v>
      </c>
      <c r="D146" s="15" t="s">
        <v>140</v>
      </c>
      <c r="E146" s="40" t="s">
        <v>74</v>
      </c>
      <c r="F146" s="42">
        <v>92422</v>
      </c>
      <c r="G146" s="13" t="s">
        <v>141</v>
      </c>
      <c r="H146" s="40" t="s">
        <v>16</v>
      </c>
      <c r="I146" s="35">
        <f>I124</f>
        <v>2</v>
      </c>
      <c r="J146" s="11">
        <v>130.38</v>
      </c>
      <c r="K146" s="41">
        <f>ROUND(J146*1.2635,3)</f>
        <v>164.73500000000001</v>
      </c>
      <c r="L146" s="38">
        <f>I146*K146</f>
        <v>329.47</v>
      </c>
      <c r="M146" s="114"/>
    </row>
    <row r="147" spans="1:13" ht="73.5" customHeight="1" x14ac:dyDescent="0.25">
      <c r="A147" s="25"/>
      <c r="B147" s="25"/>
      <c r="C147" s="39" t="s">
        <v>375</v>
      </c>
      <c r="D147" s="15" t="s">
        <v>142</v>
      </c>
      <c r="E147" s="42" t="s">
        <v>74</v>
      </c>
      <c r="F147" s="42">
        <v>97761</v>
      </c>
      <c r="G147" s="13" t="s">
        <v>599</v>
      </c>
      <c r="H147" s="42" t="s">
        <v>22</v>
      </c>
      <c r="I147" s="35">
        <f>0.55*1.2</f>
        <v>0.66</v>
      </c>
      <c r="J147" s="11">
        <v>476.49</v>
      </c>
      <c r="K147" s="41">
        <f>ROUND(J147*1.2635,3)</f>
        <v>602.04499999999996</v>
      </c>
      <c r="L147" s="38">
        <f>I147*K147</f>
        <v>397.34969999999998</v>
      </c>
      <c r="M147" s="114"/>
    </row>
    <row r="148" spans="1:13" ht="44.25" customHeight="1" x14ac:dyDescent="0.25">
      <c r="A148" s="25"/>
      <c r="B148" s="25"/>
      <c r="C148" s="39" t="s">
        <v>376</v>
      </c>
      <c r="D148" s="15" t="s">
        <v>143</v>
      </c>
      <c r="E148" s="42" t="s">
        <v>74</v>
      </c>
      <c r="F148" s="42">
        <v>77153</v>
      </c>
      <c r="G148" s="13" t="s">
        <v>144</v>
      </c>
      <c r="H148" s="42" t="s">
        <v>28</v>
      </c>
      <c r="I148" s="35">
        <f>0.55+1.2</f>
        <v>1.75</v>
      </c>
      <c r="J148" s="11">
        <v>49.93</v>
      </c>
      <c r="K148" s="41">
        <f>ROUND(J148*1.2635,3)</f>
        <v>63.087000000000003</v>
      </c>
      <c r="L148" s="38">
        <f>I148*K148</f>
        <v>110.40225000000001</v>
      </c>
      <c r="M148" s="114"/>
    </row>
    <row r="149" spans="1:13" ht="21" customHeight="1" x14ac:dyDescent="0.25">
      <c r="A149" s="25"/>
      <c r="B149" s="25"/>
      <c r="C149" s="65" t="s">
        <v>93</v>
      </c>
      <c r="D149" s="193"/>
      <c r="E149" s="194"/>
      <c r="F149" s="186"/>
      <c r="G149" s="58" t="s">
        <v>186</v>
      </c>
      <c r="H149" s="66"/>
      <c r="I149" s="66"/>
      <c r="J149" s="66"/>
      <c r="K149" s="59"/>
      <c r="L149" s="60"/>
      <c r="M149" s="114"/>
    </row>
    <row r="150" spans="1:13" ht="33.75" customHeight="1" x14ac:dyDescent="0.25">
      <c r="A150" s="25"/>
      <c r="B150" s="25"/>
      <c r="C150" s="39" t="s">
        <v>94</v>
      </c>
      <c r="D150" s="15" t="s">
        <v>149</v>
      </c>
      <c r="E150" s="42" t="s">
        <v>74</v>
      </c>
      <c r="F150" s="42">
        <v>77158</v>
      </c>
      <c r="G150" s="13" t="s">
        <v>150</v>
      </c>
      <c r="H150" s="42" t="s">
        <v>16</v>
      </c>
      <c r="I150" s="35">
        <v>2</v>
      </c>
      <c r="J150" s="11">
        <v>135.09</v>
      </c>
      <c r="K150" s="41">
        <f t="shared" si="17"/>
        <v>170.68600000000001</v>
      </c>
      <c r="L150" s="38">
        <f t="shared" ref="L150:L160" si="22">K150*I150</f>
        <v>341.37200000000001</v>
      </c>
      <c r="M150" s="114"/>
    </row>
    <row r="151" spans="1:13" ht="28.5" customHeight="1" x14ac:dyDescent="0.25">
      <c r="A151" s="25"/>
      <c r="B151" s="25"/>
      <c r="C151" s="39" t="s">
        <v>102</v>
      </c>
      <c r="D151" s="15" t="s">
        <v>153</v>
      </c>
      <c r="E151" s="42" t="s">
        <v>74</v>
      </c>
      <c r="F151" s="42">
        <v>102569</v>
      </c>
      <c r="G151" s="13" t="s">
        <v>154</v>
      </c>
      <c r="H151" s="42" t="s">
        <v>16</v>
      </c>
      <c r="I151" s="35">
        <f>I135+2</f>
        <v>5</v>
      </c>
      <c r="J151" s="11">
        <v>44.58</v>
      </c>
      <c r="K151" s="41">
        <f t="shared" si="17"/>
        <v>56.326999999999998</v>
      </c>
      <c r="L151" s="38">
        <f t="shared" si="22"/>
        <v>281.63499999999999</v>
      </c>
      <c r="M151" s="114"/>
    </row>
    <row r="152" spans="1:13" ht="44.25" customHeight="1" x14ac:dyDescent="0.25">
      <c r="A152" s="25"/>
      <c r="B152" s="25"/>
      <c r="C152" s="39" t="s">
        <v>377</v>
      </c>
      <c r="D152" s="15" t="s">
        <v>155</v>
      </c>
      <c r="E152" s="42" t="s">
        <v>74</v>
      </c>
      <c r="F152" s="42">
        <v>99985</v>
      </c>
      <c r="G152" s="13" t="s">
        <v>161</v>
      </c>
      <c r="H152" s="42" t="s">
        <v>16</v>
      </c>
      <c r="I152" s="35">
        <v>3</v>
      </c>
      <c r="J152" s="11">
        <v>219.17</v>
      </c>
      <c r="K152" s="41">
        <f t="shared" si="17"/>
        <v>276.92099999999999</v>
      </c>
      <c r="L152" s="38">
        <f t="shared" si="22"/>
        <v>830.76299999999992</v>
      </c>
      <c r="M152" s="114"/>
    </row>
    <row r="153" spans="1:13" ht="48" customHeight="1" x14ac:dyDescent="0.25">
      <c r="A153" s="25"/>
      <c r="B153" s="25"/>
      <c r="C153" s="39" t="s">
        <v>103</v>
      </c>
      <c r="D153" s="15" t="s">
        <v>156</v>
      </c>
      <c r="E153" s="42" t="s">
        <v>74</v>
      </c>
      <c r="F153" s="42">
        <v>99987</v>
      </c>
      <c r="G153" s="13" t="s">
        <v>458</v>
      </c>
      <c r="H153" s="42" t="s">
        <v>16</v>
      </c>
      <c r="I153" s="35">
        <v>2</v>
      </c>
      <c r="J153" s="11">
        <v>63.63</v>
      </c>
      <c r="K153" s="41">
        <f t="shared" si="17"/>
        <v>80.397000000000006</v>
      </c>
      <c r="L153" s="38">
        <f t="shared" si="22"/>
        <v>160.79400000000001</v>
      </c>
      <c r="M153" s="114"/>
    </row>
    <row r="154" spans="1:13" ht="44.25" customHeight="1" x14ac:dyDescent="0.25">
      <c r="A154" s="25"/>
      <c r="B154" s="25"/>
      <c r="C154" s="39" t="s">
        <v>378</v>
      </c>
      <c r="D154" s="15" t="s">
        <v>456</v>
      </c>
      <c r="E154" s="42" t="s">
        <v>74</v>
      </c>
      <c r="F154" s="42">
        <v>99988</v>
      </c>
      <c r="G154" s="13" t="s">
        <v>457</v>
      </c>
      <c r="H154" s="42" t="s">
        <v>16</v>
      </c>
      <c r="I154" s="35">
        <v>2</v>
      </c>
      <c r="J154" s="11">
        <v>95.09</v>
      </c>
      <c r="K154" s="41">
        <f t="shared" si="17"/>
        <v>120.146</v>
      </c>
      <c r="L154" s="38">
        <f t="shared" si="22"/>
        <v>240.292</v>
      </c>
      <c r="M154" s="114"/>
    </row>
    <row r="155" spans="1:13" ht="32.25" customHeight="1" x14ac:dyDescent="0.25">
      <c r="A155" s="25"/>
      <c r="B155" s="25"/>
      <c r="C155" s="39" t="s">
        <v>379</v>
      </c>
      <c r="D155" s="15" t="s">
        <v>157</v>
      </c>
      <c r="E155" s="42" t="s">
        <v>74</v>
      </c>
      <c r="F155" s="42">
        <v>99991</v>
      </c>
      <c r="G155" s="13" t="s">
        <v>158</v>
      </c>
      <c r="H155" s="42" t="s">
        <v>16</v>
      </c>
      <c r="I155" s="35">
        <f>3*2</f>
        <v>6</v>
      </c>
      <c r="J155" s="11">
        <v>28.48</v>
      </c>
      <c r="K155" s="41">
        <f t="shared" si="17"/>
        <v>35.984000000000002</v>
      </c>
      <c r="L155" s="38">
        <f t="shared" si="22"/>
        <v>215.904</v>
      </c>
      <c r="M155" s="114"/>
    </row>
    <row r="156" spans="1:13" ht="28.5" customHeight="1" x14ac:dyDescent="0.25">
      <c r="A156" s="25"/>
      <c r="B156" s="25"/>
      <c r="C156" s="39" t="s">
        <v>104</v>
      </c>
      <c r="D156" s="15">
        <v>95544</v>
      </c>
      <c r="E156" s="42" t="s">
        <v>20</v>
      </c>
      <c r="F156" s="42">
        <v>102734</v>
      </c>
      <c r="G156" s="13" t="s">
        <v>455</v>
      </c>
      <c r="H156" s="42" t="s">
        <v>16</v>
      </c>
      <c r="I156" s="35">
        <v>5</v>
      </c>
      <c r="J156" s="11">
        <v>43.47</v>
      </c>
      <c r="K156" s="41">
        <f t="shared" si="17"/>
        <v>54.923999999999999</v>
      </c>
      <c r="L156" s="38">
        <f t="shared" si="22"/>
        <v>274.62</v>
      </c>
      <c r="M156" s="114"/>
    </row>
    <row r="157" spans="1:13" ht="45.75" customHeight="1" x14ac:dyDescent="0.25">
      <c r="A157" s="25"/>
      <c r="B157" s="25"/>
      <c r="C157" s="39" t="s">
        <v>586</v>
      </c>
      <c r="D157" s="15" t="s">
        <v>162</v>
      </c>
      <c r="E157" s="42" t="s">
        <v>74</v>
      </c>
      <c r="F157" s="42">
        <v>92434</v>
      </c>
      <c r="G157" s="13" t="s">
        <v>163</v>
      </c>
      <c r="H157" s="42" t="s">
        <v>16</v>
      </c>
      <c r="I157" s="35">
        <v>4</v>
      </c>
      <c r="J157" s="11">
        <v>202.48</v>
      </c>
      <c r="K157" s="41">
        <f t="shared" si="17"/>
        <v>255.833</v>
      </c>
      <c r="L157" s="38">
        <f t="shared" si="22"/>
        <v>1023.332</v>
      </c>
      <c r="M157" s="114"/>
    </row>
    <row r="158" spans="1:13" ht="57" customHeight="1" x14ac:dyDescent="0.25">
      <c r="A158" s="25"/>
      <c r="B158" s="25"/>
      <c r="C158" s="39" t="s">
        <v>380</v>
      </c>
      <c r="D158" s="15" t="s">
        <v>296</v>
      </c>
      <c r="E158" s="42" t="s">
        <v>74</v>
      </c>
      <c r="F158" s="42">
        <v>92433</v>
      </c>
      <c r="G158" s="13" t="s">
        <v>297</v>
      </c>
      <c r="H158" s="42" t="s">
        <v>16</v>
      </c>
      <c r="I158" s="35">
        <v>2</v>
      </c>
      <c r="J158" s="11">
        <v>180.59</v>
      </c>
      <c r="K158" s="41">
        <f t="shared" si="17"/>
        <v>228.17500000000001</v>
      </c>
      <c r="L158" s="38">
        <f t="shared" si="22"/>
        <v>456.35</v>
      </c>
      <c r="M158" s="114"/>
    </row>
    <row r="159" spans="1:13" ht="44.25" customHeight="1" x14ac:dyDescent="0.25">
      <c r="A159" s="25"/>
      <c r="B159" s="25"/>
      <c r="C159" s="39" t="s">
        <v>381</v>
      </c>
      <c r="D159" s="15" t="s">
        <v>299</v>
      </c>
      <c r="E159" s="42" t="s">
        <v>74</v>
      </c>
      <c r="F159" s="42">
        <v>93235</v>
      </c>
      <c r="G159" s="13" t="s">
        <v>298</v>
      </c>
      <c r="H159" s="42" t="s">
        <v>16</v>
      </c>
      <c r="I159" s="35">
        <v>2</v>
      </c>
      <c r="J159" s="11">
        <v>155.11000000000001</v>
      </c>
      <c r="K159" s="41">
        <f t="shared" si="17"/>
        <v>195.98099999999999</v>
      </c>
      <c r="L159" s="38">
        <f t="shared" si="22"/>
        <v>391.96199999999999</v>
      </c>
      <c r="M159" s="114"/>
    </row>
    <row r="160" spans="1:13" ht="49.5" customHeight="1" x14ac:dyDescent="0.25">
      <c r="A160" s="25"/>
      <c r="B160" s="25"/>
      <c r="C160" s="39" t="s">
        <v>382</v>
      </c>
      <c r="D160" s="15" t="s">
        <v>301</v>
      </c>
      <c r="E160" s="42" t="s">
        <v>74</v>
      </c>
      <c r="F160" s="42">
        <v>102735</v>
      </c>
      <c r="G160" s="13" t="s">
        <v>300</v>
      </c>
      <c r="H160" s="42" t="s">
        <v>16</v>
      </c>
      <c r="I160" s="35">
        <v>2</v>
      </c>
      <c r="J160" s="11">
        <v>285.44</v>
      </c>
      <c r="K160" s="41">
        <f t="shared" si="17"/>
        <v>360.65300000000002</v>
      </c>
      <c r="L160" s="38">
        <f t="shared" si="22"/>
        <v>721.30600000000004</v>
      </c>
      <c r="M160" s="114"/>
    </row>
    <row r="161" spans="1:13" ht="15" customHeight="1" x14ac:dyDescent="0.25">
      <c r="A161" s="25"/>
      <c r="B161" s="25"/>
      <c r="C161" s="248" t="s">
        <v>82</v>
      </c>
      <c r="D161" s="249"/>
      <c r="E161" s="249"/>
      <c r="F161" s="249"/>
      <c r="G161" s="249"/>
      <c r="H161" s="249"/>
      <c r="I161" s="249"/>
      <c r="J161" s="249"/>
      <c r="K161" s="250"/>
      <c r="L161" s="54">
        <f>SUM(L107:L160)</f>
        <v>35184.984249999987</v>
      </c>
      <c r="M161" s="114"/>
    </row>
    <row r="162" spans="1:13" x14ac:dyDescent="0.25">
      <c r="A162" s="25"/>
      <c r="B162" s="25"/>
      <c r="C162" s="4">
        <v>8</v>
      </c>
      <c r="D162" s="251"/>
      <c r="E162" s="252"/>
      <c r="F162" s="180"/>
      <c r="G162" s="80" t="s">
        <v>164</v>
      </c>
      <c r="H162" s="251"/>
      <c r="I162" s="253"/>
      <c r="J162" s="253"/>
      <c r="K162" s="253"/>
      <c r="L162" s="200"/>
      <c r="M162" s="114"/>
    </row>
    <row r="163" spans="1:13" x14ac:dyDescent="0.25">
      <c r="A163" s="25"/>
      <c r="B163" s="25"/>
      <c r="C163" s="89" t="s">
        <v>105</v>
      </c>
      <c r="D163" s="226"/>
      <c r="E163" s="227"/>
      <c r="F163" s="182"/>
      <c r="G163" s="92" t="s">
        <v>267</v>
      </c>
      <c r="H163" s="66"/>
      <c r="I163" s="93"/>
      <c r="J163" s="59"/>
      <c r="K163" s="91"/>
      <c r="L163" s="90"/>
      <c r="M163" s="114"/>
    </row>
    <row r="164" spans="1:13" ht="29.25" x14ac:dyDescent="0.25">
      <c r="A164" s="25"/>
      <c r="B164" s="25"/>
      <c r="C164" s="8" t="s">
        <v>385</v>
      </c>
      <c r="D164" s="81" t="s">
        <v>37</v>
      </c>
      <c r="E164" s="81" t="s">
        <v>74</v>
      </c>
      <c r="F164" s="81">
        <v>94214</v>
      </c>
      <c r="G164" s="82" t="s">
        <v>165</v>
      </c>
      <c r="H164" s="81" t="s">
        <v>22</v>
      </c>
      <c r="I164" s="109">
        <f>I165+I166+I167</f>
        <v>945.51</v>
      </c>
      <c r="J164" s="83">
        <v>7.87</v>
      </c>
      <c r="K164" s="84">
        <f t="shared" ref="K164:K169" si="23">ROUND(J164*1.2635,3)</f>
        <v>9.9440000000000008</v>
      </c>
      <c r="L164" s="78">
        <f>I164*K164</f>
        <v>9402.1514400000015</v>
      </c>
      <c r="M164" s="114"/>
    </row>
    <row r="165" spans="1:13" ht="33" customHeight="1" x14ac:dyDescent="0.25">
      <c r="A165" s="25"/>
      <c r="B165" s="25"/>
      <c r="C165" s="8" t="s">
        <v>451</v>
      </c>
      <c r="D165" s="7" t="s">
        <v>166</v>
      </c>
      <c r="E165" s="42" t="s">
        <v>74</v>
      </c>
      <c r="F165" s="42">
        <v>77142</v>
      </c>
      <c r="G165" s="9" t="s">
        <v>167</v>
      </c>
      <c r="H165" s="7" t="s">
        <v>22</v>
      </c>
      <c r="I165" s="34">
        <v>110.17</v>
      </c>
      <c r="J165" s="11">
        <v>17.02</v>
      </c>
      <c r="K165" s="36">
        <f t="shared" si="23"/>
        <v>21.504999999999999</v>
      </c>
      <c r="L165" s="37">
        <f t="shared" ref="L165:L170" si="24">ROUND(K165*I165,3)</f>
        <v>2369.2060000000001</v>
      </c>
      <c r="M165" s="114"/>
    </row>
    <row r="166" spans="1:13" ht="33" customHeight="1" x14ac:dyDescent="0.25">
      <c r="A166" s="25"/>
      <c r="B166" s="25"/>
      <c r="C166" s="8" t="s">
        <v>452</v>
      </c>
      <c r="D166" s="7" t="s">
        <v>36</v>
      </c>
      <c r="E166" s="7" t="s">
        <v>74</v>
      </c>
      <c r="F166" s="7">
        <v>77145</v>
      </c>
      <c r="G166" s="9" t="s">
        <v>172</v>
      </c>
      <c r="H166" s="7" t="s">
        <v>22</v>
      </c>
      <c r="I166" s="10">
        <v>349.32</v>
      </c>
      <c r="J166" s="11">
        <v>16.920000000000002</v>
      </c>
      <c r="K166" s="79">
        <f t="shared" si="23"/>
        <v>21.378</v>
      </c>
      <c r="L166" s="38">
        <f t="shared" si="24"/>
        <v>7467.7629999999999</v>
      </c>
      <c r="M166" s="114"/>
    </row>
    <row r="167" spans="1:13" ht="46.5" customHeight="1" x14ac:dyDescent="0.25">
      <c r="A167" s="25"/>
      <c r="B167" s="25"/>
      <c r="C167" s="8" t="s">
        <v>453</v>
      </c>
      <c r="D167" s="7" t="s">
        <v>170</v>
      </c>
      <c r="E167" s="7" t="s">
        <v>74</v>
      </c>
      <c r="F167" s="7">
        <v>99350</v>
      </c>
      <c r="G167" s="9" t="s">
        <v>171</v>
      </c>
      <c r="H167" s="7" t="s">
        <v>22</v>
      </c>
      <c r="I167" s="34">
        <v>486.02</v>
      </c>
      <c r="J167" s="16">
        <v>20.46</v>
      </c>
      <c r="K167" s="79">
        <f t="shared" si="23"/>
        <v>25.850999999999999</v>
      </c>
      <c r="L167" s="38">
        <f t="shared" si="24"/>
        <v>12564.102999999999</v>
      </c>
      <c r="M167" s="114"/>
    </row>
    <row r="168" spans="1:13" ht="30.75" customHeight="1" x14ac:dyDescent="0.25">
      <c r="A168" s="25"/>
      <c r="B168" s="25"/>
      <c r="C168" s="8" t="s">
        <v>454</v>
      </c>
      <c r="D168" s="7" t="s">
        <v>168</v>
      </c>
      <c r="E168" s="7" t="s">
        <v>74</v>
      </c>
      <c r="F168" s="7">
        <v>97679</v>
      </c>
      <c r="G168" s="9" t="s">
        <v>169</v>
      </c>
      <c r="H168" s="7" t="s">
        <v>22</v>
      </c>
      <c r="I168" s="34">
        <v>19.670000000000002</v>
      </c>
      <c r="J168" s="11">
        <v>9.91</v>
      </c>
      <c r="K168" s="79">
        <f t="shared" si="23"/>
        <v>12.521000000000001</v>
      </c>
      <c r="L168" s="38">
        <f t="shared" si="24"/>
        <v>246.28800000000001</v>
      </c>
      <c r="M168" s="114"/>
    </row>
    <row r="169" spans="1:13" ht="44.25" customHeight="1" x14ac:dyDescent="0.25">
      <c r="A169" s="25"/>
      <c r="B169" s="25"/>
      <c r="C169" s="8" t="s">
        <v>585</v>
      </c>
      <c r="D169" s="7" t="s">
        <v>529</v>
      </c>
      <c r="E169" s="7" t="s">
        <v>74</v>
      </c>
      <c r="F169" s="7">
        <v>101109</v>
      </c>
      <c r="G169" s="9" t="s">
        <v>528</v>
      </c>
      <c r="H169" s="7" t="s">
        <v>22</v>
      </c>
      <c r="I169" s="34">
        <f>I168</f>
        <v>19.670000000000002</v>
      </c>
      <c r="J169" s="11">
        <v>46.72</v>
      </c>
      <c r="K169" s="79">
        <f t="shared" si="23"/>
        <v>59.030999999999999</v>
      </c>
      <c r="L169" s="38">
        <f t="shared" si="24"/>
        <v>1161.1400000000001</v>
      </c>
      <c r="M169" s="114"/>
    </row>
    <row r="170" spans="1:13" ht="44.25" customHeight="1" x14ac:dyDescent="0.25">
      <c r="A170" s="25"/>
      <c r="B170" s="25"/>
      <c r="C170" s="8" t="s">
        <v>617</v>
      </c>
      <c r="D170" s="42">
        <v>102513</v>
      </c>
      <c r="E170" s="42" t="s">
        <v>20</v>
      </c>
      <c r="F170" s="42">
        <v>101820</v>
      </c>
      <c r="G170" s="13" t="s">
        <v>548</v>
      </c>
      <c r="H170" s="42" t="s">
        <v>22</v>
      </c>
      <c r="I170" s="35">
        <f>0.5*15</f>
        <v>7.5</v>
      </c>
      <c r="J170" s="11">
        <v>55.07</v>
      </c>
      <c r="K170" s="36">
        <f>ROUND(J170*1.2635,3)</f>
        <v>69.581000000000003</v>
      </c>
      <c r="L170" s="38">
        <f t="shared" si="24"/>
        <v>521.85799999999995</v>
      </c>
      <c r="M170" s="178"/>
    </row>
    <row r="171" spans="1:13" ht="18" customHeight="1" x14ac:dyDescent="0.25">
      <c r="A171" s="25"/>
      <c r="B171" s="25"/>
      <c r="C171" s="89" t="s">
        <v>106</v>
      </c>
      <c r="D171" s="226"/>
      <c r="E171" s="227"/>
      <c r="F171" s="182"/>
      <c r="G171" s="92" t="s">
        <v>268</v>
      </c>
      <c r="H171" s="93"/>
      <c r="I171" s="93"/>
      <c r="J171" s="93"/>
      <c r="K171" s="93"/>
      <c r="L171" s="90"/>
      <c r="M171" s="114"/>
    </row>
    <row r="172" spans="1:13" ht="30.75" customHeight="1" x14ac:dyDescent="0.25">
      <c r="A172" s="25"/>
      <c r="B172" s="25"/>
      <c r="C172" s="8" t="s">
        <v>383</v>
      </c>
      <c r="D172" s="7" t="s">
        <v>173</v>
      </c>
      <c r="E172" s="7" t="s">
        <v>74</v>
      </c>
      <c r="F172" s="7">
        <v>77148</v>
      </c>
      <c r="G172" s="9" t="s">
        <v>174</v>
      </c>
      <c r="H172" s="7" t="s">
        <v>22</v>
      </c>
      <c r="I172" s="34">
        <f>(I17+2.1*1+2.35*2.1+0.8*1.9)*2</f>
        <v>19.11</v>
      </c>
      <c r="J172" s="11">
        <v>35.369999999999997</v>
      </c>
      <c r="K172" s="79">
        <v>44.689994999999996</v>
      </c>
      <c r="L172" s="38">
        <f>I172*K172</f>
        <v>854.0258044499999</v>
      </c>
      <c r="M172" s="114"/>
    </row>
    <row r="173" spans="1:13" ht="60" customHeight="1" x14ac:dyDescent="0.25">
      <c r="A173" s="25"/>
      <c r="B173" s="25"/>
      <c r="C173" s="8" t="s">
        <v>520</v>
      </c>
      <c r="D173" s="7" t="s">
        <v>192</v>
      </c>
      <c r="E173" s="7" t="s">
        <v>74</v>
      </c>
      <c r="F173" s="7">
        <v>102736</v>
      </c>
      <c r="G173" s="9" t="s">
        <v>614</v>
      </c>
      <c r="H173" s="7" t="s">
        <v>28</v>
      </c>
      <c r="I173" s="34">
        <f>(3+4+0.5*4+3)*2+(5*8)*2+(3+2+3+I208)*5+I207*2</f>
        <v>169.5</v>
      </c>
      <c r="J173" s="11">
        <v>10.67</v>
      </c>
      <c r="K173" s="79">
        <f>ROUND(J173*1.2635,3)</f>
        <v>13.481999999999999</v>
      </c>
      <c r="L173" s="38">
        <f>I173*K173</f>
        <v>2285.1990000000001</v>
      </c>
      <c r="M173" s="114"/>
    </row>
    <row r="174" spans="1:13" ht="63" customHeight="1" x14ac:dyDescent="0.25">
      <c r="A174" s="25"/>
      <c r="B174" s="25"/>
      <c r="C174" s="8" t="s">
        <v>521</v>
      </c>
      <c r="D174" s="7">
        <v>100757</v>
      </c>
      <c r="E174" s="7" t="s">
        <v>20</v>
      </c>
      <c r="F174" s="7">
        <v>91930</v>
      </c>
      <c r="G174" s="9" t="s">
        <v>613</v>
      </c>
      <c r="H174" s="7" t="s">
        <v>22</v>
      </c>
      <c r="I174" s="34">
        <f>I44+17.35*1+0.6*0.8*2+1.2*0.5*2</f>
        <v>234.26999999999998</v>
      </c>
      <c r="J174" s="11">
        <v>59.6</v>
      </c>
      <c r="K174" s="79">
        <f>ROUND(J174*1.2635,3)</f>
        <v>75.305000000000007</v>
      </c>
      <c r="L174" s="38">
        <f>I174*K174</f>
        <v>17641.70235</v>
      </c>
      <c r="M174" s="114"/>
    </row>
    <row r="175" spans="1:13" ht="60.75" customHeight="1" x14ac:dyDescent="0.25">
      <c r="A175" s="25"/>
      <c r="B175" s="25"/>
      <c r="C175" s="8" t="s">
        <v>522</v>
      </c>
      <c r="D175" s="7" t="s">
        <v>272</v>
      </c>
      <c r="E175" s="7" t="s">
        <v>74</v>
      </c>
      <c r="F175" s="7">
        <v>101755</v>
      </c>
      <c r="G175" s="9" t="s">
        <v>519</v>
      </c>
      <c r="H175" s="7" t="s">
        <v>22</v>
      </c>
      <c r="I175" s="10">
        <f>1.131*(29.815*18.54)</f>
        <v>625.1829831</v>
      </c>
      <c r="J175" s="11">
        <v>36.4</v>
      </c>
      <c r="K175" s="79">
        <f>ROUND(J175*1.2635,3)</f>
        <v>45.991</v>
      </c>
      <c r="L175" s="38">
        <f>I175*K175</f>
        <v>28752.7905757521</v>
      </c>
      <c r="M175" s="114"/>
    </row>
    <row r="176" spans="1:13" ht="18" customHeight="1" x14ac:dyDescent="0.25">
      <c r="A176" s="25"/>
      <c r="B176" s="25"/>
      <c r="C176" s="88" t="s">
        <v>107</v>
      </c>
      <c r="D176" s="226"/>
      <c r="E176" s="227"/>
      <c r="F176" s="182"/>
      <c r="G176" s="58" t="s">
        <v>396</v>
      </c>
      <c r="H176" s="66"/>
      <c r="I176" s="93"/>
      <c r="J176" s="59"/>
      <c r="K176" s="59"/>
      <c r="L176" s="60"/>
      <c r="M176" s="114"/>
    </row>
    <row r="177" spans="1:13" ht="30" customHeight="1" x14ac:dyDescent="0.25">
      <c r="A177" s="25"/>
      <c r="B177" s="25"/>
      <c r="C177" s="75" t="s">
        <v>384</v>
      </c>
      <c r="D177" s="7" t="s">
        <v>110</v>
      </c>
      <c r="E177" s="7" t="s">
        <v>74</v>
      </c>
      <c r="F177" s="7">
        <v>77150</v>
      </c>
      <c r="G177" s="9" t="s">
        <v>175</v>
      </c>
      <c r="H177" s="7" t="s">
        <v>22</v>
      </c>
      <c r="I177" s="34">
        <v>350</v>
      </c>
      <c r="J177" s="11">
        <v>13.62</v>
      </c>
      <c r="K177" s="79">
        <f>ROUND(J177*1.2635,3)</f>
        <v>17.209</v>
      </c>
      <c r="L177" s="38">
        <f>I177*K177</f>
        <v>6023.15</v>
      </c>
      <c r="M177" s="114"/>
    </row>
    <row r="178" spans="1:13" ht="47.25" customHeight="1" x14ac:dyDescent="0.25">
      <c r="A178" s="25"/>
      <c r="B178" s="25"/>
      <c r="C178" s="75" t="s">
        <v>523</v>
      </c>
      <c r="D178" s="7" t="s">
        <v>194</v>
      </c>
      <c r="E178" s="7" t="s">
        <v>74</v>
      </c>
      <c r="F178" s="7">
        <v>99782</v>
      </c>
      <c r="G178" s="9" t="s">
        <v>527</v>
      </c>
      <c r="H178" s="7" t="s">
        <v>22</v>
      </c>
      <c r="I178" s="34">
        <f>55+1.2*7+0.3*12.35</f>
        <v>67.105000000000004</v>
      </c>
      <c r="J178" s="11">
        <v>58.2</v>
      </c>
      <c r="K178" s="79">
        <f>ROUND(J178*1.2635,3)</f>
        <v>73.536000000000001</v>
      </c>
      <c r="L178" s="38">
        <f>I178*K178</f>
        <v>4934.63328</v>
      </c>
      <c r="M178" s="114"/>
    </row>
    <row r="179" spans="1:13" ht="62.25" customHeight="1" x14ac:dyDescent="0.25">
      <c r="A179" s="25"/>
      <c r="B179" s="25"/>
      <c r="C179" s="75" t="s">
        <v>524</v>
      </c>
      <c r="D179" s="7" t="s">
        <v>397</v>
      </c>
      <c r="E179" s="7" t="s">
        <v>74</v>
      </c>
      <c r="F179" s="7">
        <v>102565</v>
      </c>
      <c r="G179" s="9" t="s">
        <v>513</v>
      </c>
      <c r="H179" s="7" t="s">
        <v>22</v>
      </c>
      <c r="I179" s="34">
        <f>6.7*((0.2+0.08)*2)</f>
        <v>3.7520000000000007</v>
      </c>
      <c r="J179" s="11">
        <v>19.91</v>
      </c>
      <c r="K179" s="79">
        <f>ROUND(J179*1.2635,3)</f>
        <v>25.155999999999999</v>
      </c>
      <c r="L179" s="96">
        <f>I179*K179</f>
        <v>94.385312000000013</v>
      </c>
      <c r="M179" s="114"/>
    </row>
    <row r="180" spans="1:13" ht="15.75" customHeight="1" thickBot="1" x14ac:dyDescent="0.3">
      <c r="A180" s="25"/>
      <c r="B180" s="25"/>
      <c r="C180" s="201" t="s">
        <v>52</v>
      </c>
      <c r="D180" s="202"/>
      <c r="E180" s="202"/>
      <c r="F180" s="202"/>
      <c r="G180" s="202"/>
      <c r="H180" s="202"/>
      <c r="I180" s="202"/>
      <c r="J180" s="202"/>
      <c r="K180" s="203"/>
      <c r="L180" s="55">
        <f>SUM(L163:L179)</f>
        <v>94318.395762202083</v>
      </c>
      <c r="M180" s="114"/>
    </row>
    <row r="181" spans="1:13" x14ac:dyDescent="0.25">
      <c r="A181" s="25"/>
      <c r="B181" s="25"/>
      <c r="C181" s="23">
        <v>9</v>
      </c>
      <c r="D181" s="254"/>
      <c r="E181" s="255"/>
      <c r="F181" s="181"/>
      <c r="G181" s="24" t="s">
        <v>189</v>
      </c>
      <c r="H181" s="254"/>
      <c r="I181" s="256"/>
      <c r="J181" s="256"/>
      <c r="K181" s="256"/>
      <c r="L181" s="257"/>
      <c r="M181" s="114"/>
    </row>
    <row r="182" spans="1:13" ht="47.25" customHeight="1" x14ac:dyDescent="0.25">
      <c r="A182" s="25"/>
      <c r="B182" s="25"/>
      <c r="C182" s="8" t="s">
        <v>491</v>
      </c>
      <c r="D182" s="7">
        <v>91341</v>
      </c>
      <c r="E182" s="7" t="s">
        <v>20</v>
      </c>
      <c r="F182" s="7">
        <v>91574</v>
      </c>
      <c r="G182" s="9" t="s">
        <v>596</v>
      </c>
      <c r="H182" s="7" t="s">
        <v>22</v>
      </c>
      <c r="I182" s="34">
        <f>3*0.7*1.6+2*0.9*1.6</f>
        <v>6.24</v>
      </c>
      <c r="J182" s="11">
        <v>677.57</v>
      </c>
      <c r="K182" s="79">
        <f t="shared" ref="K182:K189" si="25">ROUND(J182*1.2635,3)</f>
        <v>856.11</v>
      </c>
      <c r="L182" s="38">
        <f t="shared" ref="L182:L189" si="26">ROUND(K182*I182,3)</f>
        <v>5342.1260000000002</v>
      </c>
      <c r="M182" s="114"/>
    </row>
    <row r="183" spans="1:13" ht="73.5" customHeight="1" x14ac:dyDescent="0.25">
      <c r="A183" s="25"/>
      <c r="B183" s="25"/>
      <c r="C183" s="8" t="s">
        <v>492</v>
      </c>
      <c r="D183" s="7" t="s">
        <v>190</v>
      </c>
      <c r="E183" s="7" t="s">
        <v>74</v>
      </c>
      <c r="F183" s="7">
        <v>93827</v>
      </c>
      <c r="G183" s="9" t="s">
        <v>595</v>
      </c>
      <c r="H183" s="7" t="s">
        <v>22</v>
      </c>
      <c r="I183" s="34">
        <f>0.9*2.1*4</f>
        <v>7.5600000000000005</v>
      </c>
      <c r="J183" s="11">
        <v>428.46</v>
      </c>
      <c r="K183" s="36">
        <f t="shared" si="25"/>
        <v>541.35900000000004</v>
      </c>
      <c r="L183" s="38">
        <f t="shared" si="26"/>
        <v>4092.674</v>
      </c>
      <c r="M183" s="114"/>
    </row>
    <row r="184" spans="1:13" ht="101.25" customHeight="1" x14ac:dyDescent="0.25">
      <c r="A184" s="25"/>
      <c r="B184" s="25"/>
      <c r="C184" s="8" t="s">
        <v>493</v>
      </c>
      <c r="D184" s="7" t="s">
        <v>191</v>
      </c>
      <c r="E184" s="7" t="s">
        <v>74</v>
      </c>
      <c r="F184" s="7">
        <v>77130</v>
      </c>
      <c r="G184" s="9" t="s">
        <v>294</v>
      </c>
      <c r="H184" s="7" t="s">
        <v>16</v>
      </c>
      <c r="I184" s="34">
        <v>4</v>
      </c>
      <c r="J184" s="11">
        <v>156.41999999999999</v>
      </c>
      <c r="K184" s="36">
        <f t="shared" si="25"/>
        <v>197.637</v>
      </c>
      <c r="L184" s="38">
        <f t="shared" si="26"/>
        <v>790.548</v>
      </c>
      <c r="M184" s="114"/>
    </row>
    <row r="185" spans="1:13" ht="32.25" customHeight="1" x14ac:dyDescent="0.25">
      <c r="A185" s="25"/>
      <c r="B185" s="25"/>
      <c r="C185" s="8" t="s">
        <v>494</v>
      </c>
      <c r="D185" s="7" t="s">
        <v>295</v>
      </c>
      <c r="E185" s="7" t="s">
        <v>74</v>
      </c>
      <c r="F185" s="7">
        <v>93829</v>
      </c>
      <c r="G185" s="9" t="s">
        <v>490</v>
      </c>
      <c r="H185" s="7" t="s">
        <v>16</v>
      </c>
      <c r="I185" s="34">
        <v>5</v>
      </c>
      <c r="J185" s="11">
        <v>50.09</v>
      </c>
      <c r="K185" s="36">
        <f t="shared" si="25"/>
        <v>63.289000000000001</v>
      </c>
      <c r="L185" s="38">
        <f t="shared" si="26"/>
        <v>316.44499999999999</v>
      </c>
      <c r="M185" s="114"/>
    </row>
    <row r="186" spans="1:13" ht="33.75" customHeight="1" x14ac:dyDescent="0.25">
      <c r="A186" s="25"/>
      <c r="B186" s="25"/>
      <c r="C186" s="8" t="s">
        <v>495</v>
      </c>
      <c r="D186" s="42">
        <v>100874</v>
      </c>
      <c r="E186" s="42" t="s">
        <v>20</v>
      </c>
      <c r="F186" s="42">
        <v>99977</v>
      </c>
      <c r="G186" s="13" t="s">
        <v>293</v>
      </c>
      <c r="H186" s="7" t="s">
        <v>16</v>
      </c>
      <c r="I186" s="34">
        <v>6</v>
      </c>
      <c r="J186" s="11">
        <v>331.42</v>
      </c>
      <c r="K186" s="36">
        <f t="shared" si="25"/>
        <v>418.74900000000002</v>
      </c>
      <c r="L186" s="38">
        <f t="shared" si="26"/>
        <v>2512.4940000000001</v>
      </c>
      <c r="M186" s="114"/>
    </row>
    <row r="187" spans="1:13" ht="48" customHeight="1" x14ac:dyDescent="0.25">
      <c r="A187" s="25"/>
      <c r="B187" s="25"/>
      <c r="C187" s="8" t="s">
        <v>496</v>
      </c>
      <c r="D187" s="42" t="s">
        <v>399</v>
      </c>
      <c r="E187" s="42" t="s">
        <v>74</v>
      </c>
      <c r="F187" s="42">
        <v>97775</v>
      </c>
      <c r="G187" s="13" t="s">
        <v>398</v>
      </c>
      <c r="H187" s="7" t="s">
        <v>16</v>
      </c>
      <c r="I187" s="34">
        <v>1</v>
      </c>
      <c r="J187" s="11">
        <v>381.44</v>
      </c>
      <c r="K187" s="79">
        <f t="shared" si="25"/>
        <v>481.94900000000001</v>
      </c>
      <c r="L187" s="96">
        <f t="shared" si="26"/>
        <v>481.94900000000001</v>
      </c>
      <c r="M187" s="114"/>
    </row>
    <row r="188" spans="1:13" ht="31.5" customHeight="1" x14ac:dyDescent="0.25">
      <c r="A188" s="25"/>
      <c r="B188" s="25"/>
      <c r="C188" s="8" t="s">
        <v>544</v>
      </c>
      <c r="D188" s="42" t="s">
        <v>545</v>
      </c>
      <c r="E188" s="42" t="s">
        <v>74</v>
      </c>
      <c r="F188" s="42">
        <v>97678</v>
      </c>
      <c r="G188" s="13" t="s">
        <v>547</v>
      </c>
      <c r="H188" s="7" t="s">
        <v>16</v>
      </c>
      <c r="I188" s="34">
        <v>6</v>
      </c>
      <c r="J188" s="11">
        <v>36.909999999999997</v>
      </c>
      <c r="K188" s="79">
        <f t="shared" si="25"/>
        <v>46.636000000000003</v>
      </c>
      <c r="L188" s="96">
        <f t="shared" si="26"/>
        <v>279.81599999999997</v>
      </c>
      <c r="M188" s="114"/>
    </row>
    <row r="189" spans="1:13" ht="47.25" customHeight="1" x14ac:dyDescent="0.25">
      <c r="A189" s="25"/>
      <c r="B189" s="25"/>
      <c r="C189" s="8" t="s">
        <v>546</v>
      </c>
      <c r="D189" s="42" t="s">
        <v>542</v>
      </c>
      <c r="E189" s="42" t="s">
        <v>74</v>
      </c>
      <c r="F189" s="42">
        <v>102737</v>
      </c>
      <c r="G189" s="13" t="s">
        <v>597</v>
      </c>
      <c r="H189" s="7" t="s">
        <v>543</v>
      </c>
      <c r="I189" s="34">
        <f>5.1*I184</f>
        <v>20.399999999999999</v>
      </c>
      <c r="J189" s="11">
        <v>7</v>
      </c>
      <c r="K189" s="79">
        <f t="shared" si="25"/>
        <v>8.8450000000000006</v>
      </c>
      <c r="L189" s="96">
        <f t="shared" si="26"/>
        <v>180.43799999999999</v>
      </c>
      <c r="M189" s="114"/>
    </row>
    <row r="190" spans="1:13" ht="15.75" customHeight="1" thickBot="1" x14ac:dyDescent="0.3">
      <c r="A190" s="25"/>
      <c r="B190" s="25"/>
      <c r="C190" s="201" t="s">
        <v>83</v>
      </c>
      <c r="D190" s="202"/>
      <c r="E190" s="202"/>
      <c r="F190" s="202"/>
      <c r="G190" s="202"/>
      <c r="H190" s="202"/>
      <c r="I190" s="202"/>
      <c r="J190" s="202"/>
      <c r="K190" s="203"/>
      <c r="L190" s="56">
        <f>SUM(L182:L189)</f>
        <v>13996.490000000002</v>
      </c>
      <c r="M190" s="114"/>
    </row>
    <row r="191" spans="1:13" x14ac:dyDescent="0.25">
      <c r="A191" s="25"/>
      <c r="B191" s="25"/>
      <c r="C191" s="21">
        <v>10</v>
      </c>
      <c r="D191" s="254"/>
      <c r="E191" s="255"/>
      <c r="F191" s="187"/>
      <c r="G191" s="22" t="s">
        <v>79</v>
      </c>
      <c r="H191" s="254"/>
      <c r="I191" s="256"/>
      <c r="J191" s="256"/>
      <c r="K191" s="256"/>
      <c r="L191" s="257"/>
      <c r="M191" s="114"/>
    </row>
    <row r="192" spans="1:13" ht="18.75" customHeight="1" x14ac:dyDescent="0.25">
      <c r="A192" s="25"/>
      <c r="B192" s="25"/>
      <c r="C192" s="8" t="s">
        <v>386</v>
      </c>
      <c r="D192" s="12" t="s">
        <v>39</v>
      </c>
      <c r="E192" s="12" t="s">
        <v>74</v>
      </c>
      <c r="F192" s="42">
        <v>77163</v>
      </c>
      <c r="G192" s="13" t="s">
        <v>176</v>
      </c>
      <c r="H192" s="12" t="s">
        <v>22</v>
      </c>
      <c r="I192" s="35">
        <v>325</v>
      </c>
      <c r="J192" s="11">
        <v>8.61</v>
      </c>
      <c r="K192" s="36">
        <f t="shared" ref="K192:K201" si="27">ROUND(J192*1.2635,3)</f>
        <v>10.879</v>
      </c>
      <c r="L192" s="38">
        <f t="shared" ref="L192:L201" si="28">ROUND(K192*I192,3)</f>
        <v>3535.6750000000002</v>
      </c>
      <c r="M192" s="114"/>
    </row>
    <row r="193" spans="1:13" ht="45" customHeight="1" x14ac:dyDescent="0.25">
      <c r="A193" s="25"/>
      <c r="B193" s="25"/>
      <c r="C193" s="8" t="s">
        <v>387</v>
      </c>
      <c r="D193" s="42" t="s">
        <v>177</v>
      </c>
      <c r="E193" s="12" t="s">
        <v>74</v>
      </c>
      <c r="F193" s="42">
        <v>77168</v>
      </c>
      <c r="G193" s="13" t="s">
        <v>178</v>
      </c>
      <c r="H193" s="12" t="s">
        <v>179</v>
      </c>
      <c r="I193" s="35">
        <f>96.1*4</f>
        <v>384.4</v>
      </c>
      <c r="J193" s="11">
        <v>12.5</v>
      </c>
      <c r="K193" s="36">
        <f t="shared" si="27"/>
        <v>15.794</v>
      </c>
      <c r="L193" s="38">
        <f t="shared" si="28"/>
        <v>6071.2139999999999</v>
      </c>
      <c r="M193" s="114"/>
    </row>
    <row r="194" spans="1:13" ht="43.5" customHeight="1" x14ac:dyDescent="0.25">
      <c r="A194" s="25"/>
      <c r="B194" s="25"/>
      <c r="C194" s="8" t="s">
        <v>388</v>
      </c>
      <c r="D194" s="42" t="s">
        <v>180</v>
      </c>
      <c r="E194" s="42" t="s">
        <v>74</v>
      </c>
      <c r="F194" s="42">
        <v>77167</v>
      </c>
      <c r="G194" s="13" t="s">
        <v>181</v>
      </c>
      <c r="H194" s="42" t="s">
        <v>22</v>
      </c>
      <c r="I194" s="34">
        <f>I193</f>
        <v>384.4</v>
      </c>
      <c r="J194" s="11">
        <v>9.82</v>
      </c>
      <c r="K194" s="36">
        <f t="shared" si="27"/>
        <v>12.407999999999999</v>
      </c>
      <c r="L194" s="38">
        <f t="shared" si="28"/>
        <v>4769.6350000000002</v>
      </c>
      <c r="M194" s="114"/>
    </row>
    <row r="195" spans="1:13" ht="18.75" customHeight="1" x14ac:dyDescent="0.25">
      <c r="A195" s="25"/>
      <c r="B195" s="25"/>
      <c r="C195" s="8" t="s">
        <v>389</v>
      </c>
      <c r="D195" s="42" t="s">
        <v>38</v>
      </c>
      <c r="E195" s="42" t="s">
        <v>74</v>
      </c>
      <c r="F195" s="42">
        <v>77169</v>
      </c>
      <c r="G195" s="13" t="s">
        <v>183</v>
      </c>
      <c r="H195" s="42" t="s">
        <v>16</v>
      </c>
      <c r="I195" s="34">
        <v>1</v>
      </c>
      <c r="J195" s="11">
        <v>2493.14</v>
      </c>
      <c r="K195" s="36">
        <f t="shared" si="27"/>
        <v>3150.0819999999999</v>
      </c>
      <c r="L195" s="38">
        <f t="shared" si="28"/>
        <v>3150.0819999999999</v>
      </c>
      <c r="M195" s="114"/>
    </row>
    <row r="196" spans="1:13" ht="29.25" customHeight="1" x14ac:dyDescent="0.25">
      <c r="A196" s="25"/>
      <c r="B196" s="25"/>
      <c r="C196" s="8" t="s">
        <v>390</v>
      </c>
      <c r="D196" s="42">
        <v>101907</v>
      </c>
      <c r="E196" s="12" t="s">
        <v>20</v>
      </c>
      <c r="F196" s="42">
        <v>102007</v>
      </c>
      <c r="G196" s="13" t="s">
        <v>76</v>
      </c>
      <c r="H196" s="12" t="s">
        <v>16</v>
      </c>
      <c r="I196" s="35">
        <v>1</v>
      </c>
      <c r="J196" s="11">
        <v>532.88</v>
      </c>
      <c r="K196" s="36">
        <f t="shared" si="27"/>
        <v>673.29399999999998</v>
      </c>
      <c r="L196" s="38">
        <f t="shared" si="28"/>
        <v>673.29399999999998</v>
      </c>
      <c r="M196" s="114"/>
    </row>
    <row r="197" spans="1:13" ht="19.5" customHeight="1" x14ac:dyDescent="0.25">
      <c r="A197" s="25"/>
      <c r="B197" s="25"/>
      <c r="C197" s="8" t="s">
        <v>391</v>
      </c>
      <c r="D197" s="189"/>
      <c r="E197" s="190"/>
      <c r="F197" s="184"/>
      <c r="G197" s="101" t="s">
        <v>574</v>
      </c>
      <c r="H197" s="42"/>
      <c r="I197" s="35"/>
      <c r="J197" s="11"/>
      <c r="K197" s="36"/>
      <c r="L197" s="38"/>
      <c r="M197" s="114"/>
    </row>
    <row r="198" spans="1:13" ht="47.25" customHeight="1" x14ac:dyDescent="0.25">
      <c r="A198" s="25"/>
      <c r="B198" s="25"/>
      <c r="C198" s="8" t="s">
        <v>618</v>
      </c>
      <c r="D198" s="42" t="s">
        <v>556</v>
      </c>
      <c r="E198" s="42" t="s">
        <v>74</v>
      </c>
      <c r="F198" s="42">
        <v>93254</v>
      </c>
      <c r="G198" s="13" t="s">
        <v>555</v>
      </c>
      <c r="H198" s="42" t="s">
        <v>16</v>
      </c>
      <c r="I198" s="35">
        <v>1</v>
      </c>
      <c r="J198" s="11">
        <v>1614.71</v>
      </c>
      <c r="K198" s="36">
        <f t="shared" si="27"/>
        <v>2040.1859999999999</v>
      </c>
      <c r="L198" s="38">
        <f t="shared" si="28"/>
        <v>2040.1859999999999</v>
      </c>
      <c r="M198" s="114"/>
    </row>
    <row r="199" spans="1:13" ht="41.25" customHeight="1" x14ac:dyDescent="0.25">
      <c r="A199" s="25"/>
      <c r="B199" s="25"/>
      <c r="C199" s="8" t="s">
        <v>619</v>
      </c>
      <c r="D199" s="42" t="s">
        <v>572</v>
      </c>
      <c r="E199" s="42" t="s">
        <v>571</v>
      </c>
      <c r="F199" s="42">
        <v>102738</v>
      </c>
      <c r="G199" s="13" t="s">
        <v>573</v>
      </c>
      <c r="H199" s="42" t="s">
        <v>16</v>
      </c>
      <c r="I199" s="35">
        <v>1</v>
      </c>
      <c r="J199" s="11">
        <v>122.31</v>
      </c>
      <c r="K199" s="36">
        <f t="shared" si="27"/>
        <v>154.53899999999999</v>
      </c>
      <c r="L199" s="38">
        <f t="shared" si="28"/>
        <v>154.53899999999999</v>
      </c>
      <c r="M199" s="114"/>
    </row>
    <row r="200" spans="1:13" ht="18.75" customHeight="1" x14ac:dyDescent="0.25">
      <c r="A200" s="25"/>
      <c r="B200" s="25"/>
      <c r="C200" s="8" t="s">
        <v>620</v>
      </c>
      <c r="D200" s="42" t="s">
        <v>568</v>
      </c>
      <c r="E200" s="42" t="s">
        <v>567</v>
      </c>
      <c r="F200" s="42">
        <v>102739</v>
      </c>
      <c r="G200" s="13" t="s">
        <v>566</v>
      </c>
      <c r="H200" s="42" t="s">
        <v>16</v>
      </c>
      <c r="I200" s="35">
        <v>1</v>
      </c>
      <c r="J200" s="11">
        <v>38.340000000000003</v>
      </c>
      <c r="K200" s="36">
        <f t="shared" si="27"/>
        <v>48.442999999999998</v>
      </c>
      <c r="L200" s="38">
        <f t="shared" si="28"/>
        <v>48.442999999999998</v>
      </c>
      <c r="M200" s="114"/>
    </row>
    <row r="201" spans="1:13" ht="18.75" customHeight="1" x14ac:dyDescent="0.25">
      <c r="A201" s="25"/>
      <c r="B201" s="25"/>
      <c r="C201" s="8" t="s">
        <v>621</v>
      </c>
      <c r="D201" s="42" t="s">
        <v>569</v>
      </c>
      <c r="E201" s="42" t="s">
        <v>567</v>
      </c>
      <c r="F201" s="42">
        <v>102740</v>
      </c>
      <c r="G201" s="13" t="s">
        <v>570</v>
      </c>
      <c r="H201" s="42" t="s">
        <v>16</v>
      </c>
      <c r="I201" s="35">
        <v>1</v>
      </c>
      <c r="J201" s="11">
        <v>217.57</v>
      </c>
      <c r="K201" s="36">
        <f t="shared" si="27"/>
        <v>274.89999999999998</v>
      </c>
      <c r="L201" s="38">
        <f t="shared" si="28"/>
        <v>274.89999999999998</v>
      </c>
      <c r="M201" s="114"/>
    </row>
    <row r="202" spans="1:13" ht="18.75" customHeight="1" x14ac:dyDescent="0.25">
      <c r="A202" s="25"/>
      <c r="B202" s="25"/>
      <c r="C202" s="8" t="s">
        <v>431</v>
      </c>
      <c r="D202" s="189"/>
      <c r="E202" s="190"/>
      <c r="F202" s="184"/>
      <c r="G202" s="101" t="s">
        <v>430</v>
      </c>
      <c r="H202" s="42"/>
      <c r="I202" s="35"/>
      <c r="J202" s="11"/>
      <c r="K202" s="36"/>
      <c r="L202" s="38"/>
      <c r="M202" s="114"/>
    </row>
    <row r="203" spans="1:13" ht="31.5" customHeight="1" x14ac:dyDescent="0.25">
      <c r="A203" s="25"/>
      <c r="B203" s="25"/>
      <c r="C203" s="8" t="s">
        <v>575</v>
      </c>
      <c r="D203" s="42" t="s">
        <v>265</v>
      </c>
      <c r="E203" s="42" t="s">
        <v>74</v>
      </c>
      <c r="F203" s="42">
        <v>100757</v>
      </c>
      <c r="G203" s="13" t="s">
        <v>426</v>
      </c>
      <c r="H203" s="42" t="s">
        <v>28</v>
      </c>
      <c r="I203" s="35">
        <v>2.6</v>
      </c>
      <c r="J203" s="11">
        <v>257.97000000000003</v>
      </c>
      <c r="K203" s="36">
        <f>ROUND(J203*1.2635,3)</f>
        <v>325.94499999999999</v>
      </c>
      <c r="L203" s="38">
        <f t="shared" ref="L203:L214" si="29">ROUND(K203*I203,3)</f>
        <v>847.45699999999999</v>
      </c>
      <c r="M203" s="114"/>
    </row>
    <row r="204" spans="1:13" ht="46.5" customHeight="1" x14ac:dyDescent="0.25">
      <c r="A204" s="25"/>
      <c r="B204" s="25"/>
      <c r="C204" s="8" t="s">
        <v>576</v>
      </c>
      <c r="D204" s="42" t="s">
        <v>182</v>
      </c>
      <c r="E204" s="42" t="s">
        <v>74</v>
      </c>
      <c r="F204" s="42">
        <v>102741</v>
      </c>
      <c r="G204" s="13" t="s">
        <v>598</v>
      </c>
      <c r="H204" s="42" t="s">
        <v>22</v>
      </c>
      <c r="I204" s="34">
        <f>2.8*0.5*2</f>
        <v>2.8</v>
      </c>
      <c r="J204" s="11">
        <v>440.73</v>
      </c>
      <c r="K204" s="41">
        <f>ROUND(J204*1.2635,3)</f>
        <v>556.86199999999997</v>
      </c>
      <c r="L204" s="38">
        <f>I204*K204</f>
        <v>1559.2135999999998</v>
      </c>
      <c r="M204" s="114"/>
    </row>
    <row r="205" spans="1:13" ht="46.5" customHeight="1" x14ac:dyDescent="0.25">
      <c r="A205" s="25"/>
      <c r="B205" s="25"/>
      <c r="C205" s="8" t="s">
        <v>577</v>
      </c>
      <c r="D205" s="42" t="s">
        <v>539</v>
      </c>
      <c r="E205" s="42" t="s">
        <v>74</v>
      </c>
      <c r="F205" s="42">
        <v>102742</v>
      </c>
      <c r="G205" s="13" t="s">
        <v>538</v>
      </c>
      <c r="H205" s="42" t="s">
        <v>16</v>
      </c>
      <c r="I205" s="34">
        <v>1</v>
      </c>
      <c r="J205" s="11">
        <v>1877.99</v>
      </c>
      <c r="K205" s="41">
        <f>ROUND(J205*1.2635,3)</f>
        <v>2372.84</v>
      </c>
      <c r="L205" s="38">
        <f>I205*K205</f>
        <v>2372.84</v>
      </c>
      <c r="M205" s="114"/>
    </row>
    <row r="206" spans="1:13" ht="46.5" customHeight="1" x14ac:dyDescent="0.25">
      <c r="A206" s="25"/>
      <c r="B206" s="25"/>
      <c r="C206" s="8" t="s">
        <v>578</v>
      </c>
      <c r="D206" s="42" t="s">
        <v>541</v>
      </c>
      <c r="E206" s="42" t="s">
        <v>74</v>
      </c>
      <c r="F206" s="42">
        <v>102743</v>
      </c>
      <c r="G206" s="13" t="s">
        <v>540</v>
      </c>
      <c r="H206" s="42" t="s">
        <v>16</v>
      </c>
      <c r="I206" s="34">
        <v>1</v>
      </c>
      <c r="J206" s="11">
        <v>1039.54</v>
      </c>
      <c r="K206" s="41">
        <f>ROUND(J206*1.2635,3)</f>
        <v>1313.4590000000001</v>
      </c>
      <c r="L206" s="38">
        <f>I206*K206</f>
        <v>1313.4590000000001</v>
      </c>
      <c r="M206" s="114"/>
    </row>
    <row r="207" spans="1:13" ht="69" customHeight="1" x14ac:dyDescent="0.25">
      <c r="A207" s="25"/>
      <c r="B207" s="25"/>
      <c r="C207" s="8" t="s">
        <v>579</v>
      </c>
      <c r="D207" s="42" t="s">
        <v>418</v>
      </c>
      <c r="E207" s="42" t="s">
        <v>74</v>
      </c>
      <c r="F207" s="42">
        <v>93183</v>
      </c>
      <c r="G207" s="13" t="s">
        <v>583</v>
      </c>
      <c r="H207" s="42" t="s">
        <v>28</v>
      </c>
      <c r="I207" s="35">
        <f>2.5+4</f>
        <v>6.5</v>
      </c>
      <c r="J207" s="11">
        <v>200.49</v>
      </c>
      <c r="K207" s="36">
        <f t="shared" ref="K207:K214" si="30">ROUND(J207*1.2635,3)</f>
        <v>253.31899999999999</v>
      </c>
      <c r="L207" s="38">
        <f t="shared" si="29"/>
        <v>1646.5740000000001</v>
      </c>
      <c r="M207" s="114"/>
    </row>
    <row r="208" spans="1:13" ht="73.5" customHeight="1" x14ac:dyDescent="0.25">
      <c r="A208" s="25"/>
      <c r="B208" s="25"/>
      <c r="C208" s="8" t="s">
        <v>622</v>
      </c>
      <c r="D208" s="42" t="s">
        <v>419</v>
      </c>
      <c r="E208" s="42" t="s">
        <v>74</v>
      </c>
      <c r="F208" s="42">
        <v>92525</v>
      </c>
      <c r="G208" s="13" t="s">
        <v>420</v>
      </c>
      <c r="H208" s="42" t="s">
        <v>28</v>
      </c>
      <c r="I208" s="35">
        <v>2.5</v>
      </c>
      <c r="J208" s="11">
        <v>753.69</v>
      </c>
      <c r="K208" s="36">
        <f t="shared" si="30"/>
        <v>952.28700000000003</v>
      </c>
      <c r="L208" s="38">
        <f t="shared" si="29"/>
        <v>2380.7179999999998</v>
      </c>
      <c r="M208" s="114"/>
    </row>
    <row r="209" spans="1:13" ht="18" customHeight="1" x14ac:dyDescent="0.25">
      <c r="A209" s="25"/>
      <c r="B209" s="25"/>
      <c r="C209" s="8" t="s">
        <v>549</v>
      </c>
      <c r="D209" s="189"/>
      <c r="E209" s="190"/>
      <c r="F209" s="184"/>
      <c r="G209" s="101" t="s">
        <v>429</v>
      </c>
      <c r="H209" s="42"/>
      <c r="I209" s="35"/>
      <c r="J209" s="11"/>
      <c r="K209" s="36"/>
      <c r="L209" s="38"/>
      <c r="M209" s="114"/>
    </row>
    <row r="210" spans="1:13" ht="30.75" customHeight="1" x14ac:dyDescent="0.25">
      <c r="A210" s="25"/>
      <c r="B210" s="25"/>
      <c r="C210" s="8" t="s">
        <v>550</v>
      </c>
      <c r="D210" s="42">
        <v>100716</v>
      </c>
      <c r="E210" s="42" t="s">
        <v>20</v>
      </c>
      <c r="F210" s="42">
        <v>102744</v>
      </c>
      <c r="G210" s="13" t="s">
        <v>425</v>
      </c>
      <c r="H210" s="42" t="s">
        <v>22</v>
      </c>
      <c r="I210" s="35">
        <v>1</v>
      </c>
      <c r="J210" s="11">
        <v>25.13</v>
      </c>
      <c r="K210" s="36">
        <f>ROUND(J210*1.2635,3)</f>
        <v>31.751999999999999</v>
      </c>
      <c r="L210" s="38">
        <f>ROUND(K210*I210,3)</f>
        <v>31.751999999999999</v>
      </c>
      <c r="M210" s="114"/>
    </row>
    <row r="211" spans="1:13" ht="28.5" customHeight="1" x14ac:dyDescent="0.25">
      <c r="A211" s="25"/>
      <c r="B211" s="25"/>
      <c r="C211" s="8" t="s">
        <v>551</v>
      </c>
      <c r="D211" s="42">
        <v>1333</v>
      </c>
      <c r="E211" s="42" t="s">
        <v>20</v>
      </c>
      <c r="F211" s="42">
        <v>102745</v>
      </c>
      <c r="G211" s="13" t="s">
        <v>427</v>
      </c>
      <c r="H211" s="42" t="s">
        <v>421</v>
      </c>
      <c r="I211" s="35">
        <v>99.59</v>
      </c>
      <c r="J211" s="11">
        <v>9.1</v>
      </c>
      <c r="K211" s="36">
        <f t="shared" si="30"/>
        <v>11.497999999999999</v>
      </c>
      <c r="L211" s="38">
        <f t="shared" si="29"/>
        <v>1145.086</v>
      </c>
      <c r="M211" s="114"/>
    </row>
    <row r="212" spans="1:13" ht="29.25" customHeight="1" x14ac:dyDescent="0.25">
      <c r="A212" s="25"/>
      <c r="B212" s="25"/>
      <c r="C212" s="8" t="s">
        <v>552</v>
      </c>
      <c r="D212" s="42">
        <v>21010</v>
      </c>
      <c r="E212" s="42" t="s">
        <v>20</v>
      </c>
      <c r="F212" s="42">
        <v>102746</v>
      </c>
      <c r="G212" s="13" t="s">
        <v>428</v>
      </c>
      <c r="H212" s="42" t="s">
        <v>28</v>
      </c>
      <c r="I212" s="35">
        <v>3</v>
      </c>
      <c r="J212" s="11">
        <v>38.68</v>
      </c>
      <c r="K212" s="36">
        <f>ROUND(J212*1.2635,3)</f>
        <v>48.872</v>
      </c>
      <c r="L212" s="38">
        <f>ROUND(K212*I212,3)</f>
        <v>146.61600000000001</v>
      </c>
      <c r="M212" s="114"/>
    </row>
    <row r="213" spans="1:13" ht="30" customHeight="1" x14ac:dyDescent="0.25">
      <c r="A213" s="25"/>
      <c r="B213" s="25"/>
      <c r="C213" s="8" t="s">
        <v>553</v>
      </c>
      <c r="D213" s="42">
        <v>98751</v>
      </c>
      <c r="E213" s="42" t="s">
        <v>20</v>
      </c>
      <c r="F213" s="42">
        <v>101312</v>
      </c>
      <c r="G213" s="13" t="s">
        <v>422</v>
      </c>
      <c r="H213" s="42" t="s">
        <v>28</v>
      </c>
      <c r="I213" s="35">
        <v>6</v>
      </c>
      <c r="J213" s="11">
        <v>208.1</v>
      </c>
      <c r="K213" s="36">
        <f t="shared" si="30"/>
        <v>262.93400000000003</v>
      </c>
      <c r="L213" s="38">
        <f t="shared" si="29"/>
        <v>1577.604</v>
      </c>
      <c r="M213" s="114"/>
    </row>
    <row r="214" spans="1:13" ht="43.5" customHeight="1" x14ac:dyDescent="0.25">
      <c r="A214" s="25"/>
      <c r="B214" s="25"/>
      <c r="C214" s="8" t="s">
        <v>554</v>
      </c>
      <c r="D214" s="42" t="s">
        <v>424</v>
      </c>
      <c r="E214" s="42" t="s">
        <v>74</v>
      </c>
      <c r="F214" s="42">
        <v>99978</v>
      </c>
      <c r="G214" s="13" t="s">
        <v>423</v>
      </c>
      <c r="H214" s="42" t="s">
        <v>22</v>
      </c>
      <c r="I214" s="35">
        <f>I210</f>
        <v>1</v>
      </c>
      <c r="J214" s="11">
        <v>15.41</v>
      </c>
      <c r="K214" s="36">
        <f t="shared" si="30"/>
        <v>19.471</v>
      </c>
      <c r="L214" s="38">
        <f t="shared" si="29"/>
        <v>19.471</v>
      </c>
      <c r="M214" s="114"/>
    </row>
    <row r="215" spans="1:13" ht="15.75" customHeight="1" thickBot="1" x14ac:dyDescent="0.3">
      <c r="A215" s="25"/>
      <c r="B215" s="25"/>
      <c r="C215" s="201" t="s">
        <v>594</v>
      </c>
      <c r="D215" s="202"/>
      <c r="E215" s="202"/>
      <c r="F215" s="202"/>
      <c r="G215" s="202"/>
      <c r="H215" s="202"/>
      <c r="I215" s="202"/>
      <c r="J215" s="202"/>
      <c r="K215" s="203"/>
      <c r="L215" s="54">
        <f>SUM(L192:L214)</f>
        <v>33758.758600000001</v>
      </c>
      <c r="M215" s="144"/>
    </row>
    <row r="216" spans="1:13" ht="16.5" thickBot="1" x14ac:dyDescent="0.3">
      <c r="A216" s="25"/>
      <c r="B216" s="25"/>
      <c r="C216" s="245" t="s">
        <v>111</v>
      </c>
      <c r="D216" s="246"/>
      <c r="E216" s="246"/>
      <c r="F216" s="246"/>
      <c r="G216" s="246"/>
      <c r="H216" s="246"/>
      <c r="I216" s="246"/>
      <c r="J216" s="246"/>
      <c r="K216" s="247"/>
      <c r="L216" s="57">
        <f>L215+L190+L180+L161+L104+L79+L47+L39+L23+L19</f>
        <v>439740.12988220208</v>
      </c>
      <c r="M216" s="145"/>
    </row>
    <row r="218" spans="1:13" ht="60" customHeight="1" x14ac:dyDescent="0.25">
      <c r="I218" s="188">
        <f>SUM(I14:I214)</f>
        <v>12631.5709831</v>
      </c>
    </row>
  </sheetData>
  <mergeCells count="64">
    <mergeCell ref="C215:K215"/>
    <mergeCell ref="C216:K216"/>
    <mergeCell ref="C79:K79"/>
    <mergeCell ref="C161:K161"/>
    <mergeCell ref="C104:K104"/>
    <mergeCell ref="D80:E80"/>
    <mergeCell ref="H80:L80"/>
    <mergeCell ref="H105:L105"/>
    <mergeCell ref="D162:E162"/>
    <mergeCell ref="H162:L162"/>
    <mergeCell ref="D181:E181"/>
    <mergeCell ref="H181:L181"/>
    <mergeCell ref="D191:E191"/>
    <mergeCell ref="H191:L191"/>
    <mergeCell ref="D171:E171"/>
    <mergeCell ref="C190:K190"/>
    <mergeCell ref="L9:L10"/>
    <mergeCell ref="C10:H10"/>
    <mergeCell ref="C19:K19"/>
    <mergeCell ref="C11:H11"/>
    <mergeCell ref="C9:H9"/>
    <mergeCell ref="I9:J10"/>
    <mergeCell ref="K9:K10"/>
    <mergeCell ref="H13:L13"/>
    <mergeCell ref="D13:E13"/>
    <mergeCell ref="D48:E48"/>
    <mergeCell ref="D92:E92"/>
    <mergeCell ref="D20:E20"/>
    <mergeCell ref="C39:K39"/>
    <mergeCell ref="D60:E60"/>
    <mergeCell ref="D50:E50"/>
    <mergeCell ref="C23:K23"/>
    <mergeCell ref="D40:E40"/>
    <mergeCell ref="H40:L40"/>
    <mergeCell ref="H20:L20"/>
    <mergeCell ref="C47:K47"/>
    <mergeCell ref="D24:E24"/>
    <mergeCell ref="J24:K24"/>
    <mergeCell ref="C3:L3"/>
    <mergeCell ref="H48:L48"/>
    <mergeCell ref="C180:K180"/>
    <mergeCell ref="L7:L8"/>
    <mergeCell ref="C7:H7"/>
    <mergeCell ref="I7:K8"/>
    <mergeCell ref="C4:L4"/>
    <mergeCell ref="C5:H5"/>
    <mergeCell ref="I5:L5"/>
    <mergeCell ref="C6:H6"/>
    <mergeCell ref="I6:L6"/>
    <mergeCell ref="D176:E176"/>
    <mergeCell ref="D49:E49"/>
    <mergeCell ref="C8:H8"/>
    <mergeCell ref="D163:E163"/>
    <mergeCell ref="D64:E64"/>
    <mergeCell ref="D197:E197"/>
    <mergeCell ref="D202:E202"/>
    <mergeCell ref="D209:E209"/>
    <mergeCell ref="D73:E73"/>
    <mergeCell ref="D149:E149"/>
    <mergeCell ref="D144:E144"/>
    <mergeCell ref="D123:E123"/>
    <mergeCell ref="D106:E106"/>
    <mergeCell ref="D81:E81"/>
    <mergeCell ref="D87:E87"/>
  </mergeCells>
  <phoneticPr fontId="16" type="noConversion"/>
  <pageMargins left="0.25" right="0.25" top="0.75" bottom="0.75" header="0.3" footer="0.3"/>
  <pageSetup paperSize="9" scale="6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P39"/>
  <sheetViews>
    <sheetView topLeftCell="A4" workbookViewId="0">
      <selection activeCell="K36" sqref="K36"/>
    </sheetView>
  </sheetViews>
  <sheetFormatPr defaultRowHeight="15" x14ac:dyDescent="0.25"/>
  <cols>
    <col min="3" max="3" width="8.140625" customWidth="1"/>
    <col min="4" max="4" width="33.140625" customWidth="1"/>
    <col min="5" max="5" width="14" customWidth="1"/>
    <col min="6" max="6" width="14" bestFit="1" customWidth="1"/>
    <col min="7" max="7" width="12.42578125" bestFit="1" customWidth="1"/>
    <col min="8" max="8" width="12.5703125" bestFit="1" customWidth="1"/>
    <col min="9" max="9" width="12.42578125" bestFit="1" customWidth="1"/>
    <col min="10" max="10" width="12.42578125" customWidth="1"/>
    <col min="11" max="11" width="14.42578125" customWidth="1"/>
  </cols>
  <sheetData>
    <row r="3" spans="3:11" ht="15.75" thickBot="1" x14ac:dyDescent="0.3"/>
    <row r="4" spans="3:11" x14ac:dyDescent="0.25">
      <c r="C4" s="275"/>
      <c r="D4" s="276"/>
      <c r="E4" s="276"/>
      <c r="F4" s="276"/>
      <c r="G4" s="276"/>
      <c r="H4" s="276"/>
      <c r="I4" s="276"/>
      <c r="J4" s="276"/>
      <c r="K4" s="277"/>
    </row>
    <row r="5" spans="3:11" x14ac:dyDescent="0.25">
      <c r="C5" s="278"/>
      <c r="D5" s="279"/>
      <c r="E5" s="279"/>
      <c r="F5" s="279"/>
      <c r="G5" s="279"/>
      <c r="H5" s="279"/>
      <c r="I5" s="279"/>
      <c r="J5" s="279"/>
      <c r="K5" s="280"/>
    </row>
    <row r="6" spans="3:11" x14ac:dyDescent="0.25">
      <c r="C6" s="278"/>
      <c r="D6" s="279"/>
      <c r="E6" s="279"/>
      <c r="F6" s="279"/>
      <c r="G6" s="279"/>
      <c r="H6" s="279"/>
      <c r="I6" s="279"/>
      <c r="J6" s="279"/>
      <c r="K6" s="280"/>
    </row>
    <row r="7" spans="3:11" ht="15.75" thickBot="1" x14ac:dyDescent="0.3">
      <c r="C7" s="281"/>
      <c r="D7" s="282"/>
      <c r="E7" s="282"/>
      <c r="F7" s="282"/>
      <c r="G7" s="282"/>
      <c r="H7" s="282"/>
      <c r="I7" s="282"/>
      <c r="J7" s="282"/>
      <c r="K7" s="283"/>
    </row>
    <row r="8" spans="3:11" ht="17.25" customHeight="1" x14ac:dyDescent="0.25">
      <c r="C8" s="258" t="s">
        <v>72</v>
      </c>
      <c r="D8" s="259"/>
      <c r="E8" s="259"/>
      <c r="F8" s="259"/>
      <c r="G8" s="259"/>
      <c r="H8" s="259"/>
      <c r="I8" s="259"/>
      <c r="J8" s="259"/>
      <c r="K8" s="260"/>
    </row>
    <row r="9" spans="3:11" ht="15.75" thickBot="1" x14ac:dyDescent="0.3">
      <c r="C9" s="261"/>
      <c r="D9" s="262"/>
      <c r="E9" s="262"/>
      <c r="F9" s="262"/>
      <c r="G9" s="262"/>
      <c r="H9" s="262"/>
      <c r="I9" s="262"/>
      <c r="J9" s="262"/>
      <c r="K9" s="263"/>
    </row>
    <row r="10" spans="3:11" ht="18.75" customHeight="1" x14ac:dyDescent="0.25">
      <c r="C10" s="141" t="s">
        <v>623</v>
      </c>
      <c r="D10" s="292" t="s">
        <v>593</v>
      </c>
      <c r="E10" s="293"/>
      <c r="F10" s="272"/>
      <c r="G10" s="273"/>
      <c r="H10" s="273"/>
      <c r="I10" s="273"/>
      <c r="J10" s="273"/>
      <c r="K10" s="274"/>
    </row>
    <row r="11" spans="3:11" ht="30.75" customHeight="1" thickBot="1" x14ac:dyDescent="0.3">
      <c r="C11" s="95" t="s">
        <v>109</v>
      </c>
      <c r="D11" s="294" t="s">
        <v>624</v>
      </c>
      <c r="E11" s="295"/>
      <c r="F11" s="128"/>
      <c r="G11" s="27"/>
      <c r="H11" s="27"/>
      <c r="I11" s="27"/>
      <c r="J11" s="94"/>
      <c r="K11" s="136"/>
    </row>
    <row r="12" spans="3:11" x14ac:dyDescent="0.25">
      <c r="C12" s="264" t="s">
        <v>5</v>
      </c>
      <c r="D12" s="265" t="s">
        <v>54</v>
      </c>
      <c r="E12" s="266" t="s">
        <v>55</v>
      </c>
      <c r="F12" s="267" t="s">
        <v>56</v>
      </c>
      <c r="G12" s="269" t="s">
        <v>57</v>
      </c>
      <c r="H12" s="270" t="s">
        <v>58</v>
      </c>
      <c r="I12" s="270" t="s">
        <v>59</v>
      </c>
      <c r="J12" s="271" t="s">
        <v>80</v>
      </c>
      <c r="K12" s="267" t="s">
        <v>56</v>
      </c>
    </row>
    <row r="13" spans="3:11" x14ac:dyDescent="0.25">
      <c r="C13" s="264"/>
      <c r="D13" s="265"/>
      <c r="E13" s="266"/>
      <c r="F13" s="268"/>
      <c r="G13" s="269"/>
      <c r="H13" s="270"/>
      <c r="I13" s="270"/>
      <c r="J13" s="271"/>
      <c r="K13" s="268"/>
    </row>
    <row r="14" spans="3:11" x14ac:dyDescent="0.25">
      <c r="C14" s="288" t="s">
        <v>60</v>
      </c>
      <c r="D14" s="289" t="str">
        <f>Orçamento!G13</f>
        <v>SERVIÇOS PRELIMINARES</v>
      </c>
      <c r="E14" s="118" t="s">
        <v>61</v>
      </c>
      <c r="F14" s="129">
        <f>F15/F35</f>
        <v>2.5931631491205254E-2</v>
      </c>
      <c r="G14" s="122">
        <v>0.3</v>
      </c>
      <c r="H14" s="29">
        <v>0.22500000000000001</v>
      </c>
      <c r="I14" s="33">
        <v>0.22500000000000001</v>
      </c>
      <c r="J14" s="70">
        <v>0.25</v>
      </c>
      <c r="K14" s="129">
        <f>SUM(G14:J14)</f>
        <v>1</v>
      </c>
    </row>
    <row r="15" spans="3:11" ht="15.75" customHeight="1" x14ac:dyDescent="0.25">
      <c r="C15" s="288"/>
      <c r="D15" s="289"/>
      <c r="E15" s="118" t="s">
        <v>62</v>
      </c>
      <c r="F15" s="130">
        <f>Orçamento!L19</f>
        <v>11403.179</v>
      </c>
      <c r="G15" s="123">
        <f>G14*F15</f>
        <v>3420.9537</v>
      </c>
      <c r="H15" s="28">
        <f>H14*F15</f>
        <v>2565.715275</v>
      </c>
      <c r="I15" s="28">
        <f>I14*F15</f>
        <v>2565.715275</v>
      </c>
      <c r="J15" s="71">
        <f>J14*F15</f>
        <v>2850.79475</v>
      </c>
      <c r="K15" s="137">
        <f>ROUND(SUM(G15:J15),2)</f>
        <v>11403.18</v>
      </c>
    </row>
    <row r="16" spans="3:11" ht="12.75" customHeight="1" x14ac:dyDescent="0.25">
      <c r="C16" s="288" t="s">
        <v>63</v>
      </c>
      <c r="D16" s="291" t="str">
        <f>Orçamento!G20</f>
        <v>ADMINISTRAÇÃO LOCAL</v>
      </c>
      <c r="E16" s="118" t="s">
        <v>61</v>
      </c>
      <c r="F16" s="129">
        <f>F17/F35</f>
        <v>8.8539037841348978E-2</v>
      </c>
      <c r="G16" s="122">
        <v>0.25</v>
      </c>
      <c r="H16" s="29">
        <v>0.25</v>
      </c>
      <c r="I16" s="29">
        <v>0.25</v>
      </c>
      <c r="J16" s="72">
        <v>0.25</v>
      </c>
      <c r="K16" s="129">
        <f>SUM(G16:J16)</f>
        <v>1</v>
      </c>
    </row>
    <row r="17" spans="3:16" ht="17.25" customHeight="1" x14ac:dyDescent="0.25">
      <c r="C17" s="288"/>
      <c r="D17" s="289"/>
      <c r="E17" s="118" t="s">
        <v>62</v>
      </c>
      <c r="F17" s="130">
        <f>Orçamento!L23</f>
        <v>38934.168000000005</v>
      </c>
      <c r="G17" s="123">
        <f>G16*F17</f>
        <v>9733.5420000000013</v>
      </c>
      <c r="H17" s="28">
        <f>H16*F17</f>
        <v>9733.5420000000013</v>
      </c>
      <c r="I17" s="28">
        <f>I16*F17</f>
        <v>9733.5420000000013</v>
      </c>
      <c r="J17" s="71">
        <f>J16*F17</f>
        <v>9733.5420000000013</v>
      </c>
      <c r="K17" s="137">
        <f>ROUND(SUM(G17:J17),2)</f>
        <v>38934.17</v>
      </c>
    </row>
    <row r="18" spans="3:16" x14ac:dyDescent="0.25">
      <c r="C18" s="288" t="s">
        <v>64</v>
      </c>
      <c r="D18" s="291" t="str">
        <f>Orçamento!G24</f>
        <v>DEMOLIÇÕES E REMOÇÕES</v>
      </c>
      <c r="E18" s="118" t="s">
        <v>61</v>
      </c>
      <c r="F18" s="129">
        <f>F19/F35</f>
        <v>3.1158348008107403E-2</v>
      </c>
      <c r="G18" s="124">
        <v>0.7</v>
      </c>
      <c r="H18" s="33">
        <v>0.3</v>
      </c>
      <c r="I18" s="33"/>
      <c r="J18" s="70"/>
      <c r="K18" s="129">
        <f>SUM(G18:J18)</f>
        <v>1</v>
      </c>
    </row>
    <row r="19" spans="3:16" ht="18" customHeight="1" x14ac:dyDescent="0.25">
      <c r="C19" s="288"/>
      <c r="D19" s="289"/>
      <c r="E19" s="118" t="s">
        <v>62</v>
      </c>
      <c r="F19" s="130">
        <f>Orçamento!L39</f>
        <v>13701.576000000001</v>
      </c>
      <c r="G19" s="123">
        <f>G18*F19</f>
        <v>9591.1031999999996</v>
      </c>
      <c r="H19" s="28">
        <f>H18*F19</f>
        <v>4110.4728000000005</v>
      </c>
      <c r="I19" s="28"/>
      <c r="J19" s="71"/>
      <c r="K19" s="137">
        <f>ROUND(SUM(G19:J19),2)</f>
        <v>13701.58</v>
      </c>
    </row>
    <row r="20" spans="3:16" x14ac:dyDescent="0.25">
      <c r="C20" s="288" t="s">
        <v>65</v>
      </c>
      <c r="D20" s="289" t="str">
        <f>Orçamento!G40</f>
        <v>COBERTURA  E FORRO</v>
      </c>
      <c r="E20" s="118" t="s">
        <v>61</v>
      </c>
      <c r="F20" s="129">
        <f>F21/F35</f>
        <v>2.863464838511123E-2</v>
      </c>
      <c r="G20" s="124"/>
      <c r="H20" s="33">
        <v>0.7</v>
      </c>
      <c r="I20" s="33">
        <v>0.2</v>
      </c>
      <c r="J20" s="72">
        <v>0.1</v>
      </c>
      <c r="K20" s="129">
        <f>SUM(G20:J20)</f>
        <v>0.99999999999999989</v>
      </c>
    </row>
    <row r="21" spans="3:16" ht="15.75" customHeight="1" x14ac:dyDescent="0.25">
      <c r="C21" s="288"/>
      <c r="D21" s="289"/>
      <c r="E21" s="118" t="s">
        <v>62</v>
      </c>
      <c r="F21" s="130">
        <f>Orçamento!L47</f>
        <v>12591.804</v>
      </c>
      <c r="G21" s="123"/>
      <c r="H21" s="28">
        <f>H20*F21</f>
        <v>8814.2627999999986</v>
      </c>
      <c r="I21" s="28">
        <f>I20*F21</f>
        <v>2518.3608000000004</v>
      </c>
      <c r="J21" s="71">
        <f>J20*F21</f>
        <v>1259.1804000000002</v>
      </c>
      <c r="K21" s="137">
        <f>ROUND(SUM(G21:J21),2)</f>
        <v>12591.8</v>
      </c>
    </row>
    <row r="22" spans="3:16" x14ac:dyDescent="0.25">
      <c r="C22" s="288" t="s">
        <v>66</v>
      </c>
      <c r="D22" s="289" t="str">
        <f>Orçamento!G48</f>
        <v>PISOS E REVESTIMENTOS</v>
      </c>
      <c r="E22" s="118" t="s">
        <v>61</v>
      </c>
      <c r="F22" s="129">
        <f>F23/F35</f>
        <v>0.35507172227339523</v>
      </c>
      <c r="G22" s="122">
        <v>0.15</v>
      </c>
      <c r="H22" s="29">
        <v>0.55000000000000004</v>
      </c>
      <c r="I22" s="29">
        <v>0.3</v>
      </c>
      <c r="J22" s="70"/>
      <c r="K22" s="129">
        <f>SUM(G22:J22)</f>
        <v>1</v>
      </c>
    </row>
    <row r="23" spans="3:16" x14ac:dyDescent="0.25">
      <c r="C23" s="288"/>
      <c r="D23" s="289"/>
      <c r="E23" s="118" t="s">
        <v>62</v>
      </c>
      <c r="F23" s="130">
        <f>Orçamento!L79</f>
        <v>156139.28526999999</v>
      </c>
      <c r="G23" s="123">
        <f>G22*F23</f>
        <v>23420.892790499998</v>
      </c>
      <c r="H23" s="28">
        <f>H22*F23</f>
        <v>85876.606898500002</v>
      </c>
      <c r="I23" s="28">
        <f>I22*F23</f>
        <v>46841.785580999996</v>
      </c>
      <c r="J23" s="71"/>
      <c r="K23" s="137">
        <f>ROUND(SUM(G23:J23),2)</f>
        <v>156139.29</v>
      </c>
    </row>
    <row r="24" spans="3:16" x14ac:dyDescent="0.25">
      <c r="C24" s="288" t="s">
        <v>67</v>
      </c>
      <c r="D24" s="289" t="str">
        <f>Orçamento!G80</f>
        <v>INSTALAÇÕES ELÉTRICAS</v>
      </c>
      <c r="E24" s="118" t="s">
        <v>61</v>
      </c>
      <c r="F24" s="129">
        <f>F25/F35</f>
        <v>6.7566016792597799E-2</v>
      </c>
      <c r="G24" s="124">
        <v>0.1</v>
      </c>
      <c r="H24" s="29">
        <v>0.2</v>
      </c>
      <c r="I24" s="33">
        <v>0.3</v>
      </c>
      <c r="J24" s="70">
        <v>0.4</v>
      </c>
      <c r="K24" s="129">
        <f>SUM(G24:J24)</f>
        <v>1</v>
      </c>
    </row>
    <row r="25" spans="3:16" x14ac:dyDescent="0.25">
      <c r="C25" s="288"/>
      <c r="D25" s="289"/>
      <c r="E25" s="118" t="s">
        <v>62</v>
      </c>
      <c r="F25" s="130">
        <f>Orçamento!L104</f>
        <v>29711.489000000001</v>
      </c>
      <c r="G25" s="123">
        <f>G24*F25</f>
        <v>2971.1489000000001</v>
      </c>
      <c r="H25" s="28">
        <f>H24*F25</f>
        <v>5942.2978000000003</v>
      </c>
      <c r="I25" s="28">
        <f>I24*F25</f>
        <v>8913.4467000000004</v>
      </c>
      <c r="J25" s="71">
        <f>J24*F25</f>
        <v>11884.595600000001</v>
      </c>
      <c r="K25" s="137">
        <f>ROUND(SUM(G25:J25),2)</f>
        <v>29711.49</v>
      </c>
      <c r="P25" t="s">
        <v>108</v>
      </c>
    </row>
    <row r="26" spans="3:16" x14ac:dyDescent="0.25">
      <c r="C26" s="288" t="s">
        <v>68</v>
      </c>
      <c r="D26" s="289" t="str">
        <f>Orçamento!G105</f>
        <v>HIDRÁULICA</v>
      </c>
      <c r="E26" s="118" t="s">
        <v>61</v>
      </c>
      <c r="F26" s="129">
        <f>F27/F35</f>
        <v>8.001313016263803E-2</v>
      </c>
      <c r="G26" s="124"/>
      <c r="H26" s="29">
        <v>0.25</v>
      </c>
      <c r="I26" s="29">
        <v>0.6</v>
      </c>
      <c r="J26" s="72">
        <v>0.15</v>
      </c>
      <c r="K26" s="129">
        <f>SUM(G26:J26)</f>
        <v>1</v>
      </c>
    </row>
    <row r="27" spans="3:16" x14ac:dyDescent="0.25">
      <c r="C27" s="288"/>
      <c r="D27" s="289"/>
      <c r="E27" s="118" t="s">
        <v>62</v>
      </c>
      <c r="F27" s="130">
        <f>Orçamento!L161</f>
        <v>35184.984249999987</v>
      </c>
      <c r="G27" s="123"/>
      <c r="H27" s="28">
        <f>H26*F27</f>
        <v>8796.2460624999967</v>
      </c>
      <c r="I27" s="28">
        <f>I26*F27</f>
        <v>21110.990549999991</v>
      </c>
      <c r="J27" s="71">
        <f>J26*F27</f>
        <v>5277.7476374999978</v>
      </c>
      <c r="K27" s="137">
        <f>ROUND(SUM(G27:J27),2)</f>
        <v>35184.980000000003</v>
      </c>
    </row>
    <row r="28" spans="3:16" x14ac:dyDescent="0.25">
      <c r="C28" s="288" t="s">
        <v>69</v>
      </c>
      <c r="D28" s="289" t="str">
        <f>Orçamento!G162</f>
        <v>PINTURA</v>
      </c>
      <c r="E28" s="118" t="s">
        <v>61</v>
      </c>
      <c r="F28" s="129">
        <f>F29/F35</f>
        <v>0.21448666917769857</v>
      </c>
      <c r="G28" s="124"/>
      <c r="H28" s="33">
        <v>0.15</v>
      </c>
      <c r="I28" s="33">
        <v>0.7</v>
      </c>
      <c r="J28" s="72">
        <v>0.15</v>
      </c>
      <c r="K28" s="129">
        <f>SUM(G28:J28)</f>
        <v>1</v>
      </c>
    </row>
    <row r="29" spans="3:16" x14ac:dyDescent="0.25">
      <c r="C29" s="288"/>
      <c r="D29" s="289"/>
      <c r="E29" s="118" t="s">
        <v>62</v>
      </c>
      <c r="F29" s="130">
        <f>Orçamento!L180</f>
        <v>94318.395762202083</v>
      </c>
      <c r="G29" s="123"/>
      <c r="H29" s="28">
        <f>H28*F29</f>
        <v>14147.759364330312</v>
      </c>
      <c r="I29" s="28">
        <f>I28*F29</f>
        <v>66022.877033541459</v>
      </c>
      <c r="J29" s="71">
        <f>J28*F29</f>
        <v>14147.759364330312</v>
      </c>
      <c r="K29" s="137">
        <f>ROUND(SUM(G29:J29),2)</f>
        <v>94318.399999999994</v>
      </c>
    </row>
    <row r="30" spans="3:16" x14ac:dyDescent="0.25">
      <c r="C30" s="288" t="s">
        <v>70</v>
      </c>
      <c r="D30" s="289" t="str">
        <f>Orçamento!G181</f>
        <v>ESQUADRIAS</v>
      </c>
      <c r="E30" s="118" t="s">
        <v>61</v>
      </c>
      <c r="F30" s="129">
        <f>F31/F35</f>
        <v>3.1829003197296077E-2</v>
      </c>
      <c r="G30" s="124"/>
      <c r="H30" s="33">
        <v>0.1</v>
      </c>
      <c r="I30" s="33">
        <v>0.5</v>
      </c>
      <c r="J30" s="70">
        <v>0.4</v>
      </c>
      <c r="K30" s="138">
        <f>SUM(G30:J30)</f>
        <v>1</v>
      </c>
    </row>
    <row r="31" spans="3:16" x14ac:dyDescent="0.25">
      <c r="C31" s="288"/>
      <c r="D31" s="290"/>
      <c r="E31" s="118" t="s">
        <v>62</v>
      </c>
      <c r="F31" s="130">
        <f>Orçamento!L190</f>
        <v>13996.490000000002</v>
      </c>
      <c r="G31" s="123"/>
      <c r="H31" s="28">
        <f>H30*F31</f>
        <v>1399.6490000000003</v>
      </c>
      <c r="I31" s="28">
        <f>I30*F31</f>
        <v>6998.2450000000008</v>
      </c>
      <c r="J31" s="71">
        <f>J30*F31</f>
        <v>5598.5960000000014</v>
      </c>
      <c r="K31" s="137">
        <f>SUM(G31:J31)</f>
        <v>13996.490000000002</v>
      </c>
    </row>
    <row r="32" spans="3:16" x14ac:dyDescent="0.25">
      <c r="C32" s="288" t="s">
        <v>591</v>
      </c>
      <c r="D32" s="289" t="str">
        <f>Orçamento!G191</f>
        <v>DIVERSOS</v>
      </c>
      <c r="E32" s="118" t="s">
        <v>61</v>
      </c>
      <c r="F32" s="129">
        <f>F33/F35</f>
        <v>7.6769792670601439E-2</v>
      </c>
      <c r="G32" s="124"/>
      <c r="H32" s="33">
        <v>0.3</v>
      </c>
      <c r="I32" s="33">
        <v>0.3</v>
      </c>
      <c r="J32" s="70">
        <v>0.4</v>
      </c>
      <c r="K32" s="138">
        <f>SUM(G32:J32)</f>
        <v>1</v>
      </c>
    </row>
    <row r="33" spans="3:11" ht="15.75" thickBot="1" x14ac:dyDescent="0.3">
      <c r="C33" s="288"/>
      <c r="D33" s="290"/>
      <c r="E33" s="119" t="s">
        <v>62</v>
      </c>
      <c r="F33" s="131">
        <f>Orçamento!L215</f>
        <v>33758.758600000001</v>
      </c>
      <c r="G33" s="125"/>
      <c r="H33" s="116">
        <f>H32*F33</f>
        <v>10127.62758</v>
      </c>
      <c r="I33" s="116">
        <f>I32*F33</f>
        <v>10127.62758</v>
      </c>
      <c r="J33" s="117">
        <f>J32*F33</f>
        <v>13503.50344</v>
      </c>
      <c r="K33" s="139">
        <f>SUM(G33:J33)</f>
        <v>33758.758600000001</v>
      </c>
    </row>
    <row r="34" spans="3:11" x14ac:dyDescent="0.25">
      <c r="C34" s="284" t="s">
        <v>71</v>
      </c>
      <c r="D34" s="285"/>
      <c r="E34" s="120" t="s">
        <v>61</v>
      </c>
      <c r="F34" s="132">
        <f>F30+F28+F326++F24+F22+F20+F18+F16+F14+F32+F26</f>
        <v>0.99999999999999989</v>
      </c>
      <c r="G34" s="126">
        <f>G35/F35</f>
        <v>0.11174245253364305</v>
      </c>
      <c r="H34" s="32">
        <f>H35/F35</f>
        <v>0.3445539064649798</v>
      </c>
      <c r="I34" s="32">
        <f>I35/F35</f>
        <v>0.39758161386447882</v>
      </c>
      <c r="J34" s="134">
        <f>J35/F35</f>
        <v>0.14612202713689829</v>
      </c>
      <c r="K34" s="132">
        <f>ROUND(SUM(G34:J34),4)</f>
        <v>1</v>
      </c>
    </row>
    <row r="35" spans="3:11" ht="15.75" thickBot="1" x14ac:dyDescent="0.3">
      <c r="C35" s="286"/>
      <c r="D35" s="287"/>
      <c r="E35" s="121" t="s">
        <v>62</v>
      </c>
      <c r="F35" s="133">
        <f>F15+F17+F19+F21+F23+F25+F27+F29+F31+F33</f>
        <v>439740.12988220208</v>
      </c>
      <c r="G35" s="127">
        <f>G15+G17+G19+G21+G23+G25+G27+G29+G31+G33</f>
        <v>49137.640590499999</v>
      </c>
      <c r="H35" s="31">
        <f t="shared" ref="H35:J35" si="0">H15+H17+H19+H21+H23+H25+H27+H29+H31+H33</f>
        <v>151514.17958033032</v>
      </c>
      <c r="I35" s="31">
        <f t="shared" si="0"/>
        <v>174832.59051954144</v>
      </c>
      <c r="J35" s="135">
        <f t="shared" si="0"/>
        <v>64255.719191830314</v>
      </c>
      <c r="K35" s="140">
        <f>F35</f>
        <v>439740.12988220208</v>
      </c>
    </row>
    <row r="39" spans="3:11" x14ac:dyDescent="0.25">
      <c r="H39" s="30"/>
    </row>
  </sheetData>
  <mergeCells count="35">
    <mergeCell ref="C32:C33"/>
    <mergeCell ref="D32:D33"/>
    <mergeCell ref="C14:C15"/>
    <mergeCell ref="D14:D15"/>
    <mergeCell ref="D10:E10"/>
    <mergeCell ref="D11:E11"/>
    <mergeCell ref="C18:C19"/>
    <mergeCell ref="D18:D19"/>
    <mergeCell ref="C4:K7"/>
    <mergeCell ref="C34:D35"/>
    <mergeCell ref="C26:C27"/>
    <mergeCell ref="D26:D27"/>
    <mergeCell ref="C28:C29"/>
    <mergeCell ref="D28:D29"/>
    <mergeCell ref="C24:C25"/>
    <mergeCell ref="D24:D25"/>
    <mergeCell ref="C30:C31"/>
    <mergeCell ref="D30:D31"/>
    <mergeCell ref="C20:C21"/>
    <mergeCell ref="D20:D21"/>
    <mergeCell ref="C22:C23"/>
    <mergeCell ref="C16:C17"/>
    <mergeCell ref="D16:D17"/>
    <mergeCell ref="D22:D23"/>
    <mergeCell ref="C8:K9"/>
    <mergeCell ref="C12:C13"/>
    <mergeCell ref="D12:D13"/>
    <mergeCell ref="E12:E13"/>
    <mergeCell ref="F12:F13"/>
    <mergeCell ref="G12:G13"/>
    <mergeCell ref="H12:H13"/>
    <mergeCell ref="I12:I13"/>
    <mergeCell ref="K12:K13"/>
    <mergeCell ref="J12:J13"/>
    <mergeCell ref="F10:K10"/>
  </mergeCells>
  <phoneticPr fontId="16" type="noConversion"/>
  <conditionalFormatting sqref="G14:J14 G16:J16 G20:J20 G26:J26 G28:J28 H18:J18 G30:K30 G22:J22 G24:J24">
    <cfRule type="cellIs" dxfId="14" priority="35" operator="greaterThan">
      <formula>0</formula>
    </cfRule>
  </conditionalFormatting>
  <conditionalFormatting sqref="F14">
    <cfRule type="cellIs" dxfId="13" priority="33" operator="greaterThan">
      <formula>0</formula>
    </cfRule>
  </conditionalFormatting>
  <conditionalFormatting sqref="F16">
    <cfRule type="cellIs" dxfId="12" priority="31" operator="greaterThan">
      <formula>0</formula>
    </cfRule>
  </conditionalFormatting>
  <conditionalFormatting sqref="F18">
    <cfRule type="cellIs" dxfId="11" priority="29" operator="greaterThan">
      <formula>0</formula>
    </cfRule>
  </conditionalFormatting>
  <conditionalFormatting sqref="F20">
    <cfRule type="cellIs" dxfId="10" priority="27" operator="greaterThan">
      <formula>0</formula>
    </cfRule>
  </conditionalFormatting>
  <conditionalFormatting sqref="F24">
    <cfRule type="cellIs" dxfId="9" priority="21" operator="greaterThan">
      <formula>0</formula>
    </cfRule>
  </conditionalFormatting>
  <conditionalFormatting sqref="F26">
    <cfRule type="cellIs" dxfId="8" priority="17" operator="greaterThan">
      <formula>0</formula>
    </cfRule>
  </conditionalFormatting>
  <conditionalFormatting sqref="F28">
    <cfRule type="cellIs" dxfId="7" priority="15" operator="greaterThan">
      <formula>0</formula>
    </cfRule>
  </conditionalFormatting>
  <conditionalFormatting sqref="F30">
    <cfRule type="cellIs" dxfId="6" priority="13" operator="greaterThan">
      <formula>0</formula>
    </cfRule>
  </conditionalFormatting>
  <conditionalFormatting sqref="K14">
    <cfRule type="cellIs" dxfId="5" priority="12" operator="greaterThan">
      <formula>0</formula>
    </cfRule>
  </conditionalFormatting>
  <conditionalFormatting sqref="F22">
    <cfRule type="cellIs" dxfId="4" priority="11" operator="greaterThan">
      <formula>0</formula>
    </cfRule>
  </conditionalFormatting>
  <conditionalFormatting sqref="K28 K26 K24 K22 K20 K18 K16">
    <cfRule type="cellIs" dxfId="3" priority="10" operator="greaterThan">
      <formula>0</formula>
    </cfRule>
  </conditionalFormatting>
  <conditionalFormatting sqref="G18">
    <cfRule type="cellIs" dxfId="2" priority="3" operator="greaterThan">
      <formula>0</formula>
    </cfRule>
  </conditionalFormatting>
  <conditionalFormatting sqref="G32:K32">
    <cfRule type="cellIs" dxfId="1" priority="1" operator="greaterThan">
      <formula>0</formula>
    </cfRule>
  </conditionalFormatting>
  <conditionalFormatting sqref="F32">
    <cfRule type="cellIs" dxfId="0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9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S34"/>
  <sheetViews>
    <sheetView workbookViewId="0">
      <selection activeCell="P16" sqref="P16"/>
    </sheetView>
  </sheetViews>
  <sheetFormatPr defaultRowHeight="15" x14ac:dyDescent="0.25"/>
  <cols>
    <col min="3" max="3" width="10.140625" customWidth="1"/>
    <col min="4" max="4" width="37.140625" customWidth="1"/>
    <col min="5" max="5" width="10.140625" customWidth="1"/>
    <col min="7" max="7" width="10.28515625" customWidth="1"/>
    <col min="9" max="9" width="10.28515625" customWidth="1"/>
    <col min="10" max="10" width="18.7109375" customWidth="1"/>
    <col min="14" max="14" width="13.28515625" customWidth="1"/>
    <col min="15" max="15" width="11.85546875" customWidth="1"/>
    <col min="17" max="17" width="12.140625" customWidth="1"/>
    <col min="19" max="19" width="9.5703125" customWidth="1"/>
  </cols>
  <sheetData>
    <row r="4" spans="3:19" ht="15.75" thickBot="1" x14ac:dyDescent="0.3"/>
    <row r="5" spans="3:19" ht="15.75" thickBot="1" x14ac:dyDescent="0.3">
      <c r="K5" s="302" t="s">
        <v>276</v>
      </c>
      <c r="L5" s="303"/>
      <c r="M5" s="303"/>
      <c r="N5" s="304"/>
      <c r="O5" s="302" t="s">
        <v>281</v>
      </c>
      <c r="P5" s="303"/>
      <c r="Q5" s="304"/>
      <c r="R5" s="296" t="s">
        <v>282</v>
      </c>
      <c r="S5" s="297"/>
    </row>
    <row r="6" spans="3:19" ht="42.75" customHeight="1" x14ac:dyDescent="0.25">
      <c r="K6" s="299" t="s">
        <v>240</v>
      </c>
      <c r="L6" s="300"/>
      <c r="M6" s="301"/>
      <c r="N6" s="174" t="s">
        <v>239</v>
      </c>
      <c r="O6" s="175" t="s">
        <v>278</v>
      </c>
      <c r="P6" s="175" t="s">
        <v>279</v>
      </c>
      <c r="Q6" s="176" t="s">
        <v>587</v>
      </c>
      <c r="R6" s="177" t="s">
        <v>285</v>
      </c>
      <c r="S6" s="177" t="s">
        <v>589</v>
      </c>
    </row>
    <row r="7" spans="3:19" x14ac:dyDescent="0.25">
      <c r="E7" s="147" t="s">
        <v>220</v>
      </c>
      <c r="F7" s="148" t="s">
        <v>221</v>
      </c>
      <c r="G7" s="148" t="s">
        <v>219</v>
      </c>
      <c r="H7" s="149" t="s">
        <v>224</v>
      </c>
      <c r="I7" s="148" t="s">
        <v>225</v>
      </c>
      <c r="J7" s="148" t="s">
        <v>283</v>
      </c>
      <c r="K7" s="162" t="s">
        <v>236</v>
      </c>
      <c r="L7" s="146" t="s">
        <v>237</v>
      </c>
      <c r="M7" s="163" t="s">
        <v>238</v>
      </c>
      <c r="N7" s="111"/>
      <c r="O7" s="169"/>
      <c r="P7" s="169"/>
      <c r="Q7" s="114"/>
      <c r="R7" s="169"/>
      <c r="S7" s="169"/>
    </row>
    <row r="8" spans="3:19" x14ac:dyDescent="0.25">
      <c r="D8" s="157" t="s">
        <v>217</v>
      </c>
      <c r="E8" s="150">
        <v>3</v>
      </c>
      <c r="F8" s="114">
        <v>2.8</v>
      </c>
      <c r="G8" s="114">
        <v>2.6</v>
      </c>
      <c r="H8" s="114">
        <f>E8*F8</f>
        <v>8.3999999999999986</v>
      </c>
      <c r="I8" s="114">
        <f>2*(E8+F8)</f>
        <v>11.6</v>
      </c>
      <c r="J8" s="114">
        <f>0.9*2.1+0.8*0.6</f>
        <v>2.37</v>
      </c>
      <c r="K8" s="113">
        <f>I8*G8/3</f>
        <v>10.053333333333333</v>
      </c>
      <c r="L8" s="114"/>
      <c r="M8" s="115">
        <f>I8*G8*2/3</f>
        <v>20.106666666666666</v>
      </c>
      <c r="N8" s="113"/>
      <c r="O8" s="170">
        <f>H8</f>
        <v>8.3999999999999986</v>
      </c>
      <c r="P8" s="170"/>
      <c r="Q8" s="110"/>
      <c r="R8" s="171">
        <f>H8</f>
        <v>8.3999999999999986</v>
      </c>
      <c r="S8" s="169"/>
    </row>
    <row r="9" spans="3:19" x14ac:dyDescent="0.25">
      <c r="D9" s="158" t="s">
        <v>218</v>
      </c>
      <c r="E9" s="150">
        <f>E8</f>
        <v>3</v>
      </c>
      <c r="F9" s="114">
        <f>F8</f>
        <v>2.8</v>
      </c>
      <c r="G9" s="114">
        <v>2.6</v>
      </c>
      <c r="H9" s="114">
        <f>E9*F9</f>
        <v>8.3999999999999986</v>
      </c>
      <c r="I9" s="114">
        <f>2*(E9+F9)</f>
        <v>11.6</v>
      </c>
      <c r="J9" s="114">
        <f>J8</f>
        <v>2.37</v>
      </c>
      <c r="K9" s="113">
        <f>I9*G9/3</f>
        <v>10.053333333333333</v>
      </c>
      <c r="L9" s="114"/>
      <c r="M9" s="115">
        <f>I9*G9*2/3</f>
        <v>20.106666666666666</v>
      </c>
      <c r="N9" s="113"/>
      <c r="O9" s="170">
        <f>H9</f>
        <v>8.3999999999999986</v>
      </c>
      <c r="P9" s="170"/>
      <c r="Q9" s="110"/>
      <c r="R9" s="171">
        <f>H9</f>
        <v>8.3999999999999986</v>
      </c>
      <c r="S9" s="169"/>
    </row>
    <row r="10" spans="3:19" x14ac:dyDescent="0.25">
      <c r="D10" s="158" t="s">
        <v>222</v>
      </c>
      <c r="E10" s="150">
        <v>2.85</v>
      </c>
      <c r="F10" s="114">
        <v>3.05</v>
      </c>
      <c r="G10" s="114">
        <v>2.6</v>
      </c>
      <c r="H10" s="114">
        <f>E10*F10</f>
        <v>8.692499999999999</v>
      </c>
      <c r="I10" s="114">
        <f>2*(E10+F10)</f>
        <v>11.8</v>
      </c>
      <c r="J10" s="114">
        <f>0.9*2.1+1.5*0.6</f>
        <v>2.79</v>
      </c>
      <c r="K10" s="113"/>
      <c r="L10" s="114"/>
      <c r="M10" s="115"/>
      <c r="N10" s="113">
        <f>I10*G10</f>
        <v>30.680000000000003</v>
      </c>
      <c r="O10" s="170">
        <f>H10</f>
        <v>8.692499999999999</v>
      </c>
      <c r="P10" s="170"/>
      <c r="Q10" s="110"/>
      <c r="R10" s="169"/>
      <c r="S10" s="170">
        <f>H10</f>
        <v>8.692499999999999</v>
      </c>
    </row>
    <row r="11" spans="3:19" x14ac:dyDescent="0.25">
      <c r="D11" s="158" t="s">
        <v>223</v>
      </c>
      <c r="E11" s="150">
        <v>3.6</v>
      </c>
      <c r="F11" s="114">
        <v>3.05</v>
      </c>
      <c r="G11" s="114">
        <v>2.6</v>
      </c>
      <c r="H11" s="114">
        <f>E11*F11</f>
        <v>10.98</v>
      </c>
      <c r="I11" s="114">
        <f>2*(E11+F11)</f>
        <v>13.3</v>
      </c>
      <c r="J11" s="114">
        <f>J10</f>
        <v>2.79</v>
      </c>
      <c r="K11" s="113"/>
      <c r="L11" s="114"/>
      <c r="M11" s="115"/>
      <c r="N11" s="113">
        <f>I11*G11</f>
        <v>34.580000000000005</v>
      </c>
      <c r="O11" s="170">
        <f>H11</f>
        <v>10.98</v>
      </c>
      <c r="P11" s="170"/>
      <c r="Q11" s="110"/>
      <c r="R11" s="169"/>
      <c r="S11" s="170">
        <f>H11</f>
        <v>10.98</v>
      </c>
    </row>
    <row r="12" spans="3:19" x14ac:dyDescent="0.25">
      <c r="C12" s="156" t="s">
        <v>275</v>
      </c>
      <c r="D12" s="158" t="s">
        <v>525</v>
      </c>
      <c r="E12" s="151"/>
      <c r="F12" s="112"/>
      <c r="G12" s="305">
        <v>3</v>
      </c>
      <c r="H12" s="305">
        <v>64.02</v>
      </c>
      <c r="I12" s="305">
        <v>44.5</v>
      </c>
      <c r="J12" s="305">
        <f>J8+J9+J10+J11</f>
        <v>10.32</v>
      </c>
      <c r="K12" s="113"/>
      <c r="L12" s="305">
        <f>(I12*G12-J12)*(2/3)</f>
        <v>82.12</v>
      </c>
      <c r="M12" s="306">
        <f>(I12*G12-J12)/3</f>
        <v>41.06</v>
      </c>
      <c r="N12" s="113"/>
      <c r="O12" s="170"/>
      <c r="P12" s="170"/>
      <c r="Q12" s="110"/>
      <c r="R12" s="169"/>
      <c r="S12" s="169"/>
    </row>
    <row r="13" spans="3:19" ht="15.75" thickBot="1" x14ac:dyDescent="0.3">
      <c r="C13" s="108"/>
      <c r="D13" s="158" t="s">
        <v>526</v>
      </c>
      <c r="E13" s="151"/>
      <c r="F13" s="112"/>
      <c r="G13" s="305"/>
      <c r="H13" s="305"/>
      <c r="I13" s="305"/>
      <c r="J13" s="305"/>
      <c r="K13" s="113"/>
      <c r="L13" s="305"/>
      <c r="M13" s="306"/>
      <c r="N13" s="113"/>
      <c r="O13" s="170"/>
      <c r="P13" s="170">
        <f>1.2*7</f>
        <v>8.4</v>
      </c>
      <c r="Q13" s="110"/>
      <c r="R13" s="169"/>
      <c r="S13" s="169"/>
    </row>
    <row r="14" spans="3:19" ht="15.75" thickBot="1" x14ac:dyDescent="0.3">
      <c r="D14" s="158" t="s">
        <v>226</v>
      </c>
      <c r="E14" s="151"/>
      <c r="F14" s="112"/>
      <c r="G14" s="114"/>
      <c r="H14" s="114">
        <v>445.28</v>
      </c>
      <c r="I14" s="114"/>
      <c r="J14" s="114"/>
      <c r="K14" s="113"/>
      <c r="L14" s="114"/>
      <c r="M14" s="115"/>
      <c r="N14" s="113"/>
      <c r="O14" s="170"/>
      <c r="P14" s="170"/>
      <c r="Q14" s="173">
        <f>H14</f>
        <v>445.28</v>
      </c>
      <c r="R14" s="169"/>
      <c r="S14" s="169"/>
    </row>
    <row r="15" spans="3:19" x14ac:dyDescent="0.25">
      <c r="D15" s="158" t="s">
        <v>228</v>
      </c>
      <c r="E15" s="151"/>
      <c r="F15" s="112"/>
      <c r="G15" s="114"/>
      <c r="H15" s="114">
        <v>43.14</v>
      </c>
      <c r="I15" s="114"/>
      <c r="J15" s="114"/>
      <c r="K15" s="113"/>
      <c r="L15" s="114"/>
      <c r="M15" s="115"/>
      <c r="N15" s="113"/>
      <c r="O15" s="170"/>
      <c r="P15" s="170">
        <f>H15</f>
        <v>43.14</v>
      </c>
      <c r="Q15" s="110"/>
      <c r="R15" s="169"/>
      <c r="S15" s="169"/>
    </row>
    <row r="16" spans="3:19" x14ac:dyDescent="0.25">
      <c r="D16" s="158" t="s">
        <v>227</v>
      </c>
      <c r="E16" s="151"/>
      <c r="F16" s="112"/>
      <c r="G16" s="114"/>
      <c r="H16" s="114">
        <f>(1.5+1.2)*28.35</f>
        <v>76.545000000000016</v>
      </c>
      <c r="I16" s="114"/>
      <c r="J16" s="114"/>
      <c r="K16" s="113"/>
      <c r="L16" s="114"/>
      <c r="M16" s="115"/>
      <c r="N16" s="113"/>
      <c r="O16" s="170"/>
      <c r="P16" s="170">
        <f>H16</f>
        <v>76.545000000000016</v>
      </c>
      <c r="Q16" s="110"/>
      <c r="R16" s="169"/>
      <c r="S16" s="169"/>
    </row>
    <row r="17" spans="3:19" x14ac:dyDescent="0.25">
      <c r="C17" s="298" t="s">
        <v>280</v>
      </c>
      <c r="D17" s="158" t="s">
        <v>243</v>
      </c>
      <c r="E17" s="150">
        <v>17.95</v>
      </c>
      <c r="F17" s="114">
        <v>5</v>
      </c>
      <c r="G17" s="114"/>
      <c r="H17" s="114">
        <f>E17*F17</f>
        <v>89.75</v>
      </c>
      <c r="I17" s="114"/>
      <c r="J17" s="114">
        <f>2.35*2.1</f>
        <v>4.9350000000000005</v>
      </c>
      <c r="K17" s="113">
        <f>2.6*2.85</f>
        <v>7.41</v>
      </c>
      <c r="L17" s="114"/>
      <c r="M17" s="115">
        <f>15.1*5+2.85*(1.2+1.2)-J17</f>
        <v>77.405000000000001</v>
      </c>
      <c r="N17" s="113"/>
      <c r="O17" s="170"/>
      <c r="P17" s="170"/>
      <c r="Q17" s="110"/>
      <c r="R17" s="169"/>
      <c r="S17" s="169"/>
    </row>
    <row r="18" spans="3:19" ht="15" customHeight="1" x14ac:dyDescent="0.25">
      <c r="C18" s="298"/>
      <c r="D18" s="158" t="s">
        <v>229</v>
      </c>
      <c r="E18" s="150">
        <v>29.7</v>
      </c>
      <c r="F18" s="114">
        <f>5-0.4*3</f>
        <v>3.8</v>
      </c>
      <c r="G18" s="114"/>
      <c r="H18" s="114">
        <f>E18*F18</f>
        <v>112.85999999999999</v>
      </c>
      <c r="I18" s="114"/>
      <c r="J18" s="114"/>
      <c r="K18" s="113">
        <f>E18*F18*2/3</f>
        <v>75.239999999999995</v>
      </c>
      <c r="L18" s="114"/>
      <c r="M18" s="115">
        <f>(E18*F18)/3</f>
        <v>37.619999999999997</v>
      </c>
      <c r="N18" s="113"/>
      <c r="O18" s="170"/>
      <c r="P18" s="170"/>
      <c r="Q18" s="110"/>
      <c r="R18" s="169"/>
      <c r="S18" s="169"/>
    </row>
    <row r="19" spans="3:19" ht="15.75" customHeight="1" x14ac:dyDescent="0.25">
      <c r="C19" s="298"/>
      <c r="D19" s="159" t="s">
        <v>230</v>
      </c>
      <c r="E19" s="152">
        <v>17.95</v>
      </c>
      <c r="F19" s="153">
        <v>5</v>
      </c>
      <c r="G19" s="153"/>
      <c r="H19" s="153">
        <f>E19*F19</f>
        <v>89.75</v>
      </c>
      <c r="I19" s="153"/>
      <c r="J19" s="153">
        <f>1.2*2.1</f>
        <v>2.52</v>
      </c>
      <c r="K19" s="164">
        <f>K17</f>
        <v>7.41</v>
      </c>
      <c r="L19" s="165"/>
      <c r="M19" s="166">
        <f>M17</f>
        <v>77.405000000000001</v>
      </c>
      <c r="N19" s="167"/>
      <c r="O19" s="170"/>
      <c r="P19" s="170"/>
      <c r="Q19" s="110"/>
      <c r="R19" s="169"/>
      <c r="S19" s="169"/>
    </row>
    <row r="20" spans="3:19" x14ac:dyDescent="0.25">
      <c r="C20" s="298"/>
      <c r="D20" s="158" t="s">
        <v>231</v>
      </c>
      <c r="E20" s="152">
        <v>29.7</v>
      </c>
      <c r="F20" s="153">
        <v>5</v>
      </c>
      <c r="G20" s="153"/>
      <c r="H20" s="153">
        <f>E20*F20</f>
        <v>148.5</v>
      </c>
      <c r="I20" s="153"/>
      <c r="J20" s="153"/>
      <c r="K20" s="167"/>
      <c r="L20" s="153"/>
      <c r="M20" s="168">
        <f>E20*F20</f>
        <v>148.5</v>
      </c>
      <c r="N20" s="167"/>
      <c r="O20" s="170"/>
      <c r="P20" s="170"/>
      <c r="Q20" s="110"/>
      <c r="R20" s="169"/>
      <c r="S20" s="169"/>
    </row>
    <row r="21" spans="3:19" x14ac:dyDescent="0.25">
      <c r="C21" s="298" t="s">
        <v>277</v>
      </c>
      <c r="D21" s="160" t="s">
        <v>536</v>
      </c>
      <c r="E21" s="152">
        <v>18.5</v>
      </c>
      <c r="F21" s="153">
        <v>5</v>
      </c>
      <c r="G21" s="153"/>
      <c r="H21" s="153"/>
      <c r="I21" s="153"/>
      <c r="J21" s="153">
        <f>2.35*2.1</f>
        <v>4.9350000000000005</v>
      </c>
      <c r="K21" s="167"/>
      <c r="L21" s="153">
        <f>E21*2.9</f>
        <v>53.65</v>
      </c>
      <c r="M21" s="168">
        <f>E21*2.1-J21</f>
        <v>33.914999999999999</v>
      </c>
      <c r="N21" s="167"/>
      <c r="O21" s="170"/>
      <c r="P21" s="170"/>
      <c r="Q21" s="110"/>
      <c r="R21" s="169"/>
      <c r="S21" s="169"/>
    </row>
    <row r="22" spans="3:19" x14ac:dyDescent="0.25">
      <c r="C22" s="298"/>
      <c r="D22" s="160" t="s">
        <v>537</v>
      </c>
      <c r="E22" s="152">
        <v>18.5</v>
      </c>
      <c r="F22" s="153">
        <v>0.85</v>
      </c>
      <c r="G22" s="153"/>
      <c r="H22" s="153"/>
      <c r="I22" s="153"/>
      <c r="J22" s="153"/>
      <c r="K22" s="167"/>
      <c r="L22" s="153"/>
      <c r="M22" s="168">
        <f>E22*F22</f>
        <v>15.725</v>
      </c>
      <c r="N22" s="167"/>
      <c r="O22" s="170"/>
      <c r="P22" s="170"/>
      <c r="Q22" s="110"/>
      <c r="R22" s="169"/>
      <c r="S22" s="169"/>
    </row>
    <row r="23" spans="3:19" x14ac:dyDescent="0.25">
      <c r="C23" s="298"/>
      <c r="D23" s="158" t="s">
        <v>241</v>
      </c>
      <c r="E23" s="152">
        <f>30.1+3.25</f>
        <v>33.35</v>
      </c>
      <c r="F23" s="153">
        <v>5.35</v>
      </c>
      <c r="G23" s="153"/>
      <c r="H23" s="153"/>
      <c r="I23" s="153"/>
      <c r="J23" s="153"/>
      <c r="K23" s="167"/>
      <c r="L23" s="153">
        <f>E23*F23</f>
        <v>178.42249999999999</v>
      </c>
      <c r="M23" s="168"/>
      <c r="N23" s="167"/>
      <c r="O23" s="170"/>
      <c r="P23" s="170"/>
      <c r="Q23" s="110"/>
      <c r="R23" s="169"/>
      <c r="S23" s="169"/>
    </row>
    <row r="24" spans="3:19" x14ac:dyDescent="0.25">
      <c r="C24" s="298"/>
      <c r="D24" s="158" t="s">
        <v>535</v>
      </c>
      <c r="E24" s="152">
        <f>E23/2</f>
        <v>16.675000000000001</v>
      </c>
      <c r="F24" s="153">
        <v>0.85</v>
      </c>
      <c r="G24" s="153"/>
      <c r="H24" s="153"/>
      <c r="I24" s="153"/>
      <c r="J24" s="153"/>
      <c r="K24" s="167"/>
      <c r="L24" s="153"/>
      <c r="M24" s="168">
        <f>E24*F24</f>
        <v>14.17375</v>
      </c>
      <c r="N24" s="167"/>
      <c r="O24" s="170"/>
      <c r="P24" s="170"/>
      <c r="Q24" s="110"/>
      <c r="R24" s="169"/>
      <c r="S24" s="169"/>
    </row>
    <row r="25" spans="3:19" x14ac:dyDescent="0.25">
      <c r="C25" s="298"/>
      <c r="D25" s="158" t="s">
        <v>242</v>
      </c>
      <c r="E25" s="152">
        <v>6.85</v>
      </c>
      <c r="F25" s="153">
        <v>5.35</v>
      </c>
      <c r="G25" s="153"/>
      <c r="H25" s="153"/>
      <c r="I25" s="153"/>
      <c r="J25" s="153">
        <f>0.8*1.9</f>
        <v>1.52</v>
      </c>
      <c r="K25" s="167"/>
      <c r="L25" s="153">
        <f>E25*F25-J25</f>
        <v>35.127499999999991</v>
      </c>
      <c r="M25" s="168"/>
      <c r="N25" s="167"/>
      <c r="O25" s="170"/>
      <c r="P25" s="170"/>
      <c r="Q25" s="110"/>
      <c r="R25" s="169"/>
      <c r="S25" s="169"/>
    </row>
    <row r="26" spans="3:19" ht="15.75" thickBot="1" x14ac:dyDescent="0.3">
      <c r="D26" s="161" t="s">
        <v>588</v>
      </c>
      <c r="E26" s="154"/>
      <c r="F26" s="155"/>
      <c r="G26" s="155"/>
      <c r="H26" s="155"/>
      <c r="I26" s="155"/>
      <c r="J26" s="155"/>
      <c r="K26" s="167"/>
      <c r="L26" s="153"/>
      <c r="M26" s="168"/>
      <c r="N26" s="167"/>
      <c r="O26" s="170"/>
      <c r="P26" s="170">
        <v>221.9</v>
      </c>
      <c r="Q26" s="110"/>
      <c r="R26" s="169"/>
      <c r="S26" s="169"/>
    </row>
    <row r="27" spans="3:19" ht="15.75" thickBot="1" x14ac:dyDescent="0.3">
      <c r="H27" s="26"/>
      <c r="I27" s="26"/>
      <c r="J27" s="26"/>
      <c r="K27" s="172">
        <f t="shared" ref="K27:P27" si="0">SUM(K8:K26)</f>
        <v>110.16666666666666</v>
      </c>
      <c r="L27" s="172">
        <f t="shared" si="0"/>
        <v>349.32</v>
      </c>
      <c r="M27" s="172">
        <f t="shared" si="0"/>
        <v>486.0170833333334</v>
      </c>
      <c r="N27" s="172">
        <f t="shared" si="0"/>
        <v>65.260000000000005</v>
      </c>
      <c r="O27" s="170">
        <f t="shared" si="0"/>
        <v>36.472499999999997</v>
      </c>
      <c r="P27" s="173">
        <f t="shared" si="0"/>
        <v>349.98500000000001</v>
      </c>
      <c r="Q27" s="110"/>
      <c r="R27" s="173">
        <f>SUM(R8:R9)</f>
        <v>16.799999999999997</v>
      </c>
      <c r="S27" s="173">
        <f>SUM(S7:S26)</f>
        <v>19.672499999999999</v>
      </c>
    </row>
    <row r="28" spans="3:19" ht="15.75" thickBot="1" x14ac:dyDescent="0.3">
      <c r="H28" s="26"/>
      <c r="I28" s="26"/>
      <c r="J28" s="26"/>
      <c r="K28" s="26"/>
      <c r="L28" s="26"/>
      <c r="M28" s="26"/>
      <c r="N28" s="26"/>
      <c r="O28" s="173">
        <f>O27*1.1</f>
        <v>40.119749999999996</v>
      </c>
      <c r="P28" s="26"/>
      <c r="Q28" s="110"/>
    </row>
    <row r="29" spans="3:19" x14ac:dyDescent="0.25">
      <c r="H29" s="26"/>
      <c r="I29" s="26"/>
      <c r="J29" s="26"/>
      <c r="K29" s="26"/>
      <c r="L29" s="26"/>
      <c r="M29" s="26"/>
      <c r="N29" s="26"/>
      <c r="O29" s="26"/>
      <c r="P29" s="26"/>
      <c r="Q29" s="110"/>
    </row>
    <row r="30" spans="3:19" x14ac:dyDescent="0.25">
      <c r="H30" s="26"/>
      <c r="I30" s="26"/>
      <c r="J30" s="26"/>
      <c r="K30" s="26"/>
      <c r="L30" s="26"/>
      <c r="M30" s="26"/>
      <c r="N30" s="26"/>
      <c r="O30" s="26"/>
      <c r="P30" s="26"/>
    </row>
    <row r="31" spans="3:19" x14ac:dyDescent="0.25">
      <c r="H31" s="26"/>
      <c r="I31" s="26"/>
      <c r="J31" s="26"/>
      <c r="K31" s="26"/>
      <c r="L31" s="26"/>
      <c r="M31" s="26"/>
      <c r="N31" s="26"/>
      <c r="O31" s="26"/>
      <c r="P31" s="26"/>
    </row>
    <row r="32" spans="3:19" x14ac:dyDescent="0.25">
      <c r="H32" s="26"/>
      <c r="I32" s="26"/>
      <c r="J32" s="26"/>
      <c r="K32" s="26"/>
      <c r="L32" s="26"/>
      <c r="M32" s="26"/>
      <c r="N32" s="26"/>
      <c r="O32" s="26"/>
      <c r="P32" s="26"/>
    </row>
    <row r="33" spans="8:16" x14ac:dyDescent="0.25">
      <c r="H33" s="26"/>
      <c r="I33" s="26"/>
      <c r="J33" s="26"/>
      <c r="K33" s="26"/>
      <c r="L33" s="26"/>
      <c r="M33" s="26"/>
      <c r="N33" s="26"/>
      <c r="O33" s="26"/>
      <c r="P33" s="26"/>
    </row>
    <row r="34" spans="8:16" x14ac:dyDescent="0.25">
      <c r="H34" s="26"/>
      <c r="I34" s="26"/>
      <c r="J34" s="26"/>
      <c r="K34" s="26"/>
      <c r="L34" s="26"/>
      <c r="M34" s="26"/>
      <c r="N34" s="26"/>
      <c r="O34" s="26"/>
      <c r="P34" s="26"/>
    </row>
  </sheetData>
  <mergeCells count="12">
    <mergeCell ref="R5:S5"/>
    <mergeCell ref="C17:C20"/>
    <mergeCell ref="K6:M6"/>
    <mergeCell ref="C21:C25"/>
    <mergeCell ref="K5:N5"/>
    <mergeCell ref="O5:Q5"/>
    <mergeCell ref="G12:G13"/>
    <mergeCell ref="H12:H13"/>
    <mergeCell ref="I12:I13"/>
    <mergeCell ref="J12:J13"/>
    <mergeCell ref="L12:L13"/>
    <mergeCell ref="M12:M13"/>
  </mergeCells>
  <pageMargins left="0.511811024" right="0.511811024" top="0.78740157499999996" bottom="0.78740157499999996" header="0.31496062000000002" footer="0.3149606200000000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Orçamento</vt:lpstr>
      <vt:lpstr>Cronograma</vt:lpstr>
      <vt:lpstr>Quantitativos Gerais</vt:lpstr>
      <vt:lpstr>Cronograma!Area_de_impressao</vt:lpstr>
      <vt:lpstr>Orçamento!Area_de_impressao</vt:lpstr>
      <vt:lpstr>'Quantitativos Gerais'!Area_de_impressao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Samuel Honorato Luzia</cp:lastModifiedBy>
  <cp:lastPrinted>2026-07-13T17:29:28Z</cp:lastPrinted>
  <dcterms:created xsi:type="dcterms:W3CDTF">2024-04-17T11:29:59Z</dcterms:created>
  <dcterms:modified xsi:type="dcterms:W3CDTF">2026-10-05T16:02:01Z</dcterms:modified>
</cp:coreProperties>
</file>